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resonline-my.sharepoint.com/personal/agi227_ores_be/Documents/Bureau/2024 tarif injection gaz/"/>
    </mc:Choice>
  </mc:AlternateContent>
  <xr:revisionPtr revIDLastSave="1638" documentId="13_ncr:1_{39381501-DBE5-4DBF-BE09-068B2B74BCF3}" xr6:coauthVersionLast="47" xr6:coauthVersionMax="47" xr10:uidLastSave="{EC3D72D2-F1EB-41D0-9C35-17286F426838}"/>
  <bookViews>
    <workbookView xWindow="-108" yWindow="-108" windowWidth="23256" windowHeight="12576" activeTab="4" xr2:uid="{5646C502-D45C-411E-992B-3CA4AF250718}"/>
  </bookViews>
  <sheets>
    <sheet name="estimation pays 2024" sheetId="15" r:id="rId1"/>
    <sheet name="Wallonie 2024" sheetId="16" r:id="rId2"/>
    <sheet name="France 2024" sheetId="11" r:id="rId3"/>
    <sheet name="Flandre 2024" sheetId="12" r:id="rId4"/>
    <sheet name="Pays-Bas 2024" sheetId="14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" i="15" l="1"/>
  <c r="I19" i="15"/>
  <c r="E20" i="15"/>
  <c r="E19" i="15"/>
  <c r="P5" i="15"/>
  <c r="Q5" i="15"/>
  <c r="O5" i="15"/>
  <c r="F16" i="16"/>
  <c r="E16" i="16"/>
  <c r="E18" i="16" s="1"/>
  <c r="D16" i="16"/>
  <c r="D18" i="16"/>
  <c r="F18" i="16"/>
  <c r="F117" i="14" l="1"/>
  <c r="G117" i="14"/>
  <c r="H117" i="14" s="1"/>
  <c r="I117" i="14" s="1"/>
  <c r="J117" i="14" s="1"/>
  <c r="F118" i="14"/>
  <c r="G118" i="14"/>
  <c r="H118" i="14"/>
  <c r="I118" i="14" s="1"/>
  <c r="J118" i="14" s="1"/>
  <c r="F116" i="14"/>
  <c r="G116" i="14" s="1"/>
  <c r="H116" i="14" s="1"/>
  <c r="I116" i="14" s="1"/>
  <c r="J116" i="14" s="1"/>
  <c r="K17" i="14" l="1"/>
  <c r="K116" i="14"/>
  <c r="M17" i="14"/>
  <c r="K118" i="14"/>
  <c r="L17" i="14"/>
  <c r="K117" i="14"/>
  <c r="I82" i="14" l="1"/>
  <c r="I79" i="14"/>
  <c r="I80" i="14"/>
  <c r="I81" i="14"/>
  <c r="I78" i="14"/>
  <c r="F78" i="14"/>
  <c r="G78" i="14"/>
  <c r="H78" i="14"/>
  <c r="F79" i="14"/>
  <c r="G79" i="14"/>
  <c r="H79" i="14"/>
  <c r="F80" i="14"/>
  <c r="G80" i="14"/>
  <c r="H80" i="14"/>
  <c r="F81" i="14"/>
  <c r="G81" i="14"/>
  <c r="H81" i="14"/>
  <c r="F82" i="14"/>
  <c r="G82" i="14"/>
  <c r="H82" i="14"/>
  <c r="E79" i="14"/>
  <c r="E80" i="14"/>
  <c r="E81" i="14"/>
  <c r="E82" i="14"/>
  <c r="E78" i="14"/>
  <c r="F9" i="16" l="1"/>
  <c r="E9" i="16"/>
  <c r="E7" i="16"/>
  <c r="D7" i="16"/>
  <c r="D9" i="16" s="1"/>
  <c r="B17" i="15" l="1"/>
  <c r="Q12" i="15"/>
  <c r="P12" i="15"/>
  <c r="O12" i="15"/>
  <c r="E11" i="15"/>
  <c r="D11" i="15"/>
  <c r="C11" i="15"/>
  <c r="E27" i="12" l="1"/>
  <c r="M5" i="15" s="1"/>
  <c r="M12" i="15" s="1"/>
  <c r="D27" i="12"/>
  <c r="L5" i="15" s="1"/>
  <c r="L12" i="15" s="1"/>
  <c r="C27" i="12"/>
  <c r="K5" i="15" s="1"/>
  <c r="K12" i="15" s="1"/>
  <c r="C55" i="11"/>
  <c r="C14" i="11" s="1"/>
  <c r="C56" i="11"/>
  <c r="D14" i="11" s="1"/>
  <c r="D22" i="11"/>
  <c r="C13" i="11" s="1"/>
  <c r="D21" i="11"/>
  <c r="D13" i="11" s="1"/>
  <c r="C29" i="12" l="1"/>
  <c r="E29" i="12"/>
  <c r="D29" i="12"/>
  <c r="C15" i="11"/>
  <c r="D15" i="11"/>
</calcChain>
</file>

<file path=xl/sharedStrings.xml><?xml version="1.0" encoding="utf-8"?>
<sst xmlns="http://schemas.openxmlformats.org/spreadsheetml/2006/main" count="258" uniqueCount="143">
  <si>
    <t>France</t>
  </si>
  <si>
    <t>G65</t>
  </si>
  <si>
    <t>G400</t>
  </si>
  <si>
    <t>G650</t>
  </si>
  <si>
    <t>min</t>
  </si>
  <si>
    <t>max</t>
  </si>
  <si>
    <t xml:space="preserve">Composantes des tarifs </t>
  </si>
  <si>
    <t xml:space="preserve">Estimation générale coûts d'injection hors terme tarifaire d'injection </t>
  </si>
  <si>
    <t xml:space="preserve">Tarifs </t>
  </si>
  <si>
    <t xml:space="preserve">         Niveau 3  (€/MWh)</t>
  </si>
  <si>
    <t xml:space="preserve">         Niveau 2  (€/MWh)</t>
  </si>
  <si>
    <t xml:space="preserve">         Niveau 1  (€/MWh)</t>
  </si>
  <si>
    <r>
      <t>2.Location poste (</t>
    </r>
    <r>
      <rPr>
        <sz val="11"/>
        <color theme="1"/>
        <rFont val="Calibri"/>
        <family val="2"/>
      </rPr>
      <t>€/an)</t>
    </r>
  </si>
  <si>
    <t>Flandre</t>
  </si>
  <si>
    <t>terme tarifaire injection</t>
  </si>
  <si>
    <t xml:space="preserve">   niveau 3</t>
  </si>
  <si>
    <t xml:space="preserve">   niveau 2</t>
  </si>
  <si>
    <t xml:space="preserve">   niveau 1</t>
  </si>
  <si>
    <t>activité de comptage</t>
  </si>
  <si>
    <t xml:space="preserve">utilisation du réseau </t>
  </si>
  <si>
    <t>Pays-Bas</t>
  </si>
  <si>
    <t>Pays/Région</t>
  </si>
  <si>
    <t>Wallonie</t>
  </si>
  <si>
    <t>Total côuts injection (estimation )</t>
  </si>
  <si>
    <r>
      <t xml:space="preserve">Terme Analyse de la qualité du biométhane </t>
    </r>
    <r>
      <rPr>
        <sz val="11"/>
        <color theme="1"/>
        <rFont val="Calibri"/>
        <family val="2"/>
        <scheme val="minor"/>
      </rPr>
      <t>analyse à fréquence déterminée</t>
    </r>
  </si>
  <si>
    <t>la fréquence de ces analyses est déterminée par GRDF et explicitée dans le contrat d’injection.</t>
  </si>
  <si>
    <t xml:space="preserve">hypothèses : une analyse/an comme en Flandre ou 4 analyses/an comme en Wallonie </t>
  </si>
  <si>
    <t>Analyse à fréquence déterminée euro HT /mesure</t>
  </si>
  <si>
    <t>si 1 mesure</t>
  </si>
  <si>
    <t xml:space="preserve">si 4 mesures </t>
  </si>
  <si>
    <t xml:space="preserve">analyse de la qualité </t>
  </si>
  <si>
    <t>service d'injection de gaz renouvelable</t>
  </si>
  <si>
    <t>eur/trim.</t>
  </si>
  <si>
    <t>eur/an</t>
  </si>
  <si>
    <t>avec odorisation</t>
  </si>
  <si>
    <t>sans odorisation</t>
  </si>
  <si>
    <t>sans odorisation*</t>
  </si>
  <si>
    <t>*cas ou le gaz renouvelable est odorisé en amont de poste d'injection par le producteur de gaz renouvelable</t>
  </si>
  <si>
    <t>Type d'installation</t>
  </si>
  <si>
    <t>timbre variable du terme tarifaire d'injection eur/MWh injecté</t>
  </si>
  <si>
    <t>timbre capacitaire du terme tarifaire d'injection eur/MWh/j/an installé</t>
  </si>
  <si>
    <t>GRDF-Contrat-dinjection-Conditions-Generales-Janvier22.pdf</t>
  </si>
  <si>
    <t>Catalogue des prestations annexes de GRDF Version du 1er juillet 2023</t>
  </si>
  <si>
    <t>Composantes injection</t>
  </si>
  <si>
    <t>profil de l'installation</t>
  </si>
  <si>
    <t>3.650 MWh/an</t>
  </si>
  <si>
    <t>500 m3(n)/h</t>
  </si>
  <si>
    <t>50.000 MWh/an</t>
  </si>
  <si>
    <t>1.000 m3(n)/h</t>
  </si>
  <si>
    <t>100.000 MWh/an</t>
  </si>
  <si>
    <t>-</t>
  </si>
  <si>
    <t>47.072-52.479</t>
  </si>
  <si>
    <t>1.199-4.797</t>
  </si>
  <si>
    <t xml:space="preserve">         Niveau 3  </t>
  </si>
  <si>
    <t xml:space="preserve">         Niveau 2  </t>
  </si>
  <si>
    <t xml:space="preserve">         Niveau 1  </t>
  </si>
  <si>
    <t>Composantes coût injection/profil installation, pays</t>
  </si>
  <si>
    <t>48.271-57.277</t>
  </si>
  <si>
    <t>Total coûts injection (€/an)</t>
  </si>
  <si>
    <t>Total coûts injection moyen (€/an)</t>
  </si>
  <si>
    <t xml:space="preserve">1.Terme variable du terme tarifaire d'injection  </t>
  </si>
  <si>
    <t>110 m3(n)/h</t>
  </si>
  <si>
    <t xml:space="preserve">Fluvius tous les GRD </t>
  </si>
  <si>
    <t>Periodieke nettarieven elektriciteit en aardgas 2024 | VREG</t>
  </si>
  <si>
    <t>Fluvius Tarieflijst periodieke distributienettarieven 2024 injectie</t>
  </si>
  <si>
    <t>Composantes coût injection/profil installation, région</t>
  </si>
  <si>
    <t xml:space="preserve">      1) tarif pour la gestion du système </t>
  </si>
  <si>
    <t xml:space="preserve">      2) tarif pour la gestion des données </t>
  </si>
  <si>
    <t>Total coût injection €/an</t>
  </si>
  <si>
    <t>I. Tarif pour l'utilisation du réseau</t>
  </si>
  <si>
    <t>Vastrecht transportdienst speciale aansluitingenvoor groen gaz invoedin grootverbruik</t>
  </si>
  <si>
    <t>Capaciteitsafhankelijk transorttarief speciale aansluitingen voor groen gas invoedin grootverbruik</t>
  </si>
  <si>
    <t>Periodieke aansluitvergoeding speciale LD aansluitingen voor groen gas invoeding met niet gegarandeerde leveringsdruk &gt;23,4 mbar</t>
  </si>
  <si>
    <t>Periodieke aansluitvergoeding speciale HD aansluitingen voor groen gas invoeding met niet gegarandeerde leveringsdruk &gt;100 mbar</t>
  </si>
  <si>
    <t>Transportonafhankelijk tarief groen gas invoeding in € per jaar (excl. btw)</t>
  </si>
  <si>
    <t>Capaciteitsafhankelijk tarief per eenheid gecontracteerde capaciteit groen gas invoeding in € per jaar per m³(n)/uur (excl. btw)</t>
  </si>
  <si>
    <t>terme fixe injections gaz vert en eur/an (Transportonafhankelijk tarief groen gas invoeding in € per jaar )</t>
  </si>
  <si>
    <t xml:space="preserve">terme capacitaire par unite de capacité souscrite injections gaz vert eur/an/m3(n)/h  (Capaciteitsafhankelijk tarief per eenheid gecontracteerde capaciteit groen gas invoeding in € per jaar per m³(n)/uur </t>
  </si>
  <si>
    <t>1. Tarif pour service de raccordement</t>
  </si>
  <si>
    <t>2.Tarif pour service de distribution inejctions gaz vert</t>
  </si>
  <si>
    <t>raccordement &gt;65 t/m 100 m3/h pression non garantie</t>
  </si>
  <si>
    <t>raccordement &gt; 400 m3/h pression non garantie</t>
  </si>
  <si>
    <t>Injections gaz vert- raccordement MP</t>
  </si>
  <si>
    <t>raccordement &gt;250 t/m 400 m3/h pression non garantie</t>
  </si>
  <si>
    <t>raccordement &gt;650 t/m 1000 m3/h pression non garantie</t>
  </si>
  <si>
    <t xml:space="preserve">Injections gaz vert- raccordement BP </t>
  </si>
  <si>
    <t>tarif raccordement &gt;65 t/m 100 m3/h pression non garantie</t>
  </si>
  <si>
    <r>
      <t xml:space="preserve">1. Tarifs service de raccordement, injections gaz vert- raccordement BP ou MP,  </t>
    </r>
    <r>
      <rPr>
        <sz val="11"/>
        <color theme="1"/>
        <rFont val="Calibri"/>
        <family val="2"/>
      </rPr>
      <t>€/an</t>
    </r>
  </si>
  <si>
    <r>
      <t xml:space="preserve">2.1 terme fixe injections gaz vert ,  </t>
    </r>
    <r>
      <rPr>
        <sz val="11"/>
        <color theme="1"/>
        <rFont val="Calibri"/>
        <family val="2"/>
      </rPr>
      <t>€</t>
    </r>
    <r>
      <rPr>
        <sz val="11"/>
        <color theme="1"/>
        <rFont val="Calibri"/>
        <family val="2"/>
        <scheme val="minor"/>
      </rPr>
      <t xml:space="preserve">/an </t>
    </r>
  </si>
  <si>
    <r>
      <t xml:space="preserve">2.2 terme capacitaire  injections gaz vert,  </t>
    </r>
    <r>
      <rPr>
        <sz val="11"/>
        <color theme="1"/>
        <rFont val="Calibri"/>
        <family val="2"/>
      </rPr>
      <t>€</t>
    </r>
    <r>
      <rPr>
        <sz val="11"/>
        <color theme="1"/>
        <rFont val="Calibri"/>
        <family val="2"/>
        <scheme val="minor"/>
      </rPr>
      <t xml:space="preserve">/an/m3(n)/h  </t>
    </r>
  </si>
  <si>
    <t>Pays-Bas (Enexis)</t>
  </si>
  <si>
    <t>service de raccordement</t>
  </si>
  <si>
    <t>466-872</t>
  </si>
  <si>
    <t>466 - 872</t>
  </si>
  <si>
    <t>929 - 1141</t>
  </si>
  <si>
    <r>
      <t xml:space="preserve">Tab. 2 </t>
    </r>
    <r>
      <rPr>
        <b/>
        <sz val="12"/>
        <color theme="1"/>
        <rFont val="Calibri"/>
        <family val="2"/>
        <scheme val="minor"/>
      </rPr>
      <t>Coûts d'injection identifiés en France</t>
    </r>
  </si>
  <si>
    <t>110          m3(n)/h</t>
  </si>
  <si>
    <t>location du poste (dispositif local de comptage inclus)</t>
  </si>
  <si>
    <t xml:space="preserve">Total côuts injection            (min.-max.) </t>
  </si>
  <si>
    <t>929-1.141</t>
  </si>
  <si>
    <t>utilisation du réseau -gestion du système</t>
  </si>
  <si>
    <t>utilisation du réseau -gestion des donées</t>
  </si>
  <si>
    <t xml:space="preserve">Total côuts injection                (min.-max.) </t>
  </si>
  <si>
    <t>Total côuts           injection</t>
  </si>
  <si>
    <t>Composantes coûts/profile de l'installation</t>
  </si>
  <si>
    <t>Composante coût injection/profil installation, région</t>
  </si>
  <si>
    <r>
      <t>Location du poste (</t>
    </r>
    <r>
      <rPr>
        <sz val="11"/>
        <color theme="1"/>
        <rFont val="Calibri"/>
        <family val="2"/>
      </rPr>
      <t>€/an)</t>
    </r>
  </si>
  <si>
    <t>Tarifs 2024</t>
  </si>
  <si>
    <t xml:space="preserve">Composante du tarifs </t>
  </si>
  <si>
    <r>
      <t xml:space="preserve">Tab. 11 </t>
    </r>
    <r>
      <rPr>
        <b/>
        <sz val="12"/>
        <color theme="1"/>
        <rFont val="Calibri"/>
        <family val="2"/>
        <scheme val="minor"/>
      </rPr>
      <t>Coûts "location du poste" du service d'injection de gaz renouvelable en France</t>
    </r>
  </si>
  <si>
    <r>
      <t xml:space="preserve">              -plafonnement du coût "utilisation du réseau" max 50.000 </t>
    </r>
    <r>
      <rPr>
        <sz val="11"/>
        <color theme="1"/>
        <rFont val="Calibri"/>
        <family val="2"/>
      </rPr>
      <t>€/an</t>
    </r>
  </si>
  <si>
    <t>3.Analyse de la qualité du gaz renouvelable (€/service)</t>
  </si>
  <si>
    <r>
      <t xml:space="preserve">Tab.3 </t>
    </r>
    <r>
      <rPr>
        <b/>
        <sz val="12"/>
        <color theme="1"/>
        <rFont val="Calibri"/>
        <family val="2"/>
        <scheme val="minor"/>
      </rPr>
      <t>Estimation des coûts par type d'installation (</t>
    </r>
    <r>
      <rPr>
        <b/>
        <sz val="12"/>
        <color theme="1"/>
        <rFont val="Calibri"/>
        <family val="2"/>
      </rPr>
      <t>€/an)</t>
    </r>
  </si>
  <si>
    <t>I. tarif pour l'utilisation du réseau de distribution:</t>
  </si>
  <si>
    <r>
      <t xml:space="preserve">       1) tarif pour la gestion du système </t>
    </r>
    <r>
      <rPr>
        <sz val="11"/>
        <color theme="1"/>
        <rFont val="Calibri"/>
        <family val="2"/>
      </rPr>
      <t xml:space="preserve">€/kWh </t>
    </r>
  </si>
  <si>
    <t xml:space="preserve">       2) tarif pour la gestion des données,  AMR, €/an</t>
  </si>
  <si>
    <r>
      <t xml:space="preserve">Tab.4 </t>
    </r>
    <r>
      <rPr>
        <b/>
        <sz val="12"/>
        <color theme="1"/>
        <rFont val="Calibri"/>
        <family val="2"/>
        <scheme val="minor"/>
      </rPr>
      <t>Coûts d'injection identifiés en Flandre</t>
    </r>
  </si>
  <si>
    <r>
      <t xml:space="preserve">Tab. 6 </t>
    </r>
    <r>
      <rPr>
        <b/>
        <sz val="12"/>
        <color theme="1"/>
        <rFont val="Calibri"/>
        <family val="2"/>
        <scheme val="minor"/>
      </rPr>
      <t>Coûts injection identifiés aux Pays-Bas (Enexis)</t>
    </r>
  </si>
  <si>
    <t>2.Tarifs pour service de transport injections gaz vert</t>
  </si>
  <si>
    <t>2024/2020</t>
  </si>
  <si>
    <t>Metering cost analyse</t>
  </si>
  <si>
    <t>observation sur l'évolution du coût de metering sur les petits clients gaz -le coût metering a évolué en-dessous de l'inflation sur la période 2024/2020</t>
  </si>
  <si>
    <t xml:space="preserve">hypothèse pour 2024 : estimation d'une moyenne simple entre le coût 2020 et le coût 2020  indéxé à 2024 </t>
  </si>
  <si>
    <t>inflation Pays-Bas</t>
  </si>
  <si>
    <t>1.007-1.413</t>
  </si>
  <si>
    <t>1.949-2.161</t>
  </si>
  <si>
    <t>activité de comptage (estimation)</t>
  </si>
  <si>
    <t>à partir du 1 er juillet 2026 un terme capacitaire sera introduit et le tarif d'injection aura deux termes</t>
  </si>
  <si>
    <t>FRANCE 2024</t>
  </si>
  <si>
    <t>Wallonie 2024</t>
  </si>
  <si>
    <t>Flandre 2024</t>
  </si>
  <si>
    <t xml:space="preserve">observation évolutions des tarifs métering "kleine consumenten" </t>
  </si>
  <si>
    <t>pourcentages d'évolution</t>
  </si>
  <si>
    <t xml:space="preserve">estimation du coût météring 2024 </t>
  </si>
  <si>
    <t>% 2024/2020</t>
  </si>
  <si>
    <t xml:space="preserve">Moyenne </t>
  </si>
  <si>
    <t>Pays-Bas 2024</t>
  </si>
  <si>
    <t xml:space="preserve">1.1Terme variable du timbre tarifaire d'injection  </t>
  </si>
  <si>
    <r>
      <t>1.2 Terme capacitaire du timbre tarifaire d'injection (</t>
    </r>
    <r>
      <rPr>
        <sz val="11"/>
        <color theme="1"/>
        <rFont val="Calibri"/>
        <family val="2"/>
      </rPr>
      <t>€/MWh/j/an installé) à partir du 1er juillet 2026</t>
    </r>
  </si>
  <si>
    <t>Wallonie,  avec la  grille tarifaire 2024</t>
  </si>
  <si>
    <t>Wallonie, avec tarif révisé</t>
  </si>
  <si>
    <t>Wallonie avec tarif révisé</t>
  </si>
  <si>
    <t xml:space="preserve">Wallonie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</si>
</sst>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,##0.0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Trebuchet MS"/>
      <family val="2"/>
    </font>
    <font>
      <sz val="10"/>
      <color rgb="FF000000"/>
      <name val="Arial"/>
      <family val="2"/>
    </font>
    <font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C4043"/>
      <name val="Roboto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u/>
      <sz val="11"/>
      <color rgb="FFFF0000"/>
      <name val="Calibri"/>
      <family val="2"/>
      <scheme val="minor"/>
    </font>
    <font>
      <u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13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7" fillId="0" borderId="0"/>
    <xf numFmtId="0" fontId="4" fillId="0" borderId="0"/>
    <xf numFmtId="9" fontId="17" fillId="0" borderId="0" applyFont="0" applyFill="0" applyBorder="0" applyAlignment="0" applyProtection="0"/>
  </cellStyleXfs>
  <cellXfs count="221">
    <xf numFmtId="0" fontId="0" fillId="0" borderId="0" xfId="0"/>
    <xf numFmtId="0" fontId="0" fillId="0" borderId="1" xfId="0" applyBorder="1"/>
    <xf numFmtId="0" fontId="2" fillId="0" borderId="0" xfId="0" applyFont="1"/>
    <xf numFmtId="3" fontId="0" fillId="0" borderId="0" xfId="0" applyNumberFormat="1"/>
    <xf numFmtId="3" fontId="0" fillId="0" borderId="1" xfId="0" applyNumberFormat="1" applyBorder="1"/>
    <xf numFmtId="0" fontId="1" fillId="0" borderId="0" xfId="0" applyFont="1"/>
    <xf numFmtId="0" fontId="0" fillId="0" borderId="1" xfId="0" applyFill="1" applyBorder="1"/>
    <xf numFmtId="0" fontId="0" fillId="0" borderId="1" xfId="0" applyBorder="1" applyAlignment="1">
      <alignment horizontal="center" vertical="center"/>
    </xf>
    <xf numFmtId="0" fontId="0" fillId="0" borderId="2" xfId="0" applyBorder="1"/>
    <xf numFmtId="0" fontId="0" fillId="0" borderId="0" xfId="0" applyBorder="1"/>
    <xf numFmtId="0" fontId="0" fillId="0" borderId="0" xfId="0" applyFill="1" applyBorder="1"/>
    <xf numFmtId="3" fontId="0" fillId="0" borderId="1" xfId="0" applyNumberFormat="1" applyFill="1" applyBorder="1"/>
    <xf numFmtId="0" fontId="2" fillId="0" borderId="1" xfId="0" applyFont="1" applyBorder="1"/>
    <xf numFmtId="3" fontId="2" fillId="0" borderId="0" xfId="0" applyNumberFormat="1" applyFont="1" applyFill="1" applyBorder="1"/>
    <xf numFmtId="0" fontId="2" fillId="0" borderId="1" xfId="0" applyFont="1" applyFill="1" applyBorder="1"/>
    <xf numFmtId="0" fontId="2" fillId="0" borderId="1" xfId="0" applyFont="1" applyBorder="1" applyAlignment="1">
      <alignment horizontal="center" wrapText="1"/>
    </xf>
    <xf numFmtId="3" fontId="2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/>
    <xf numFmtId="3" fontId="0" fillId="0" borderId="1" xfId="0" applyNumberFormat="1" applyFill="1" applyBorder="1" applyAlignment="1"/>
    <xf numFmtId="0" fontId="0" fillId="0" borderId="1" xfId="0" applyFont="1" applyFill="1" applyBorder="1" applyAlignment="1">
      <alignment horizontal="left" vertical="top"/>
    </xf>
    <xf numFmtId="0" fontId="0" fillId="2" borderId="1" xfId="0" applyFont="1" applyFill="1" applyBorder="1" applyAlignment="1">
      <alignment horizontal="left" vertical="center"/>
    </xf>
    <xf numFmtId="3" fontId="2" fillId="0" borderId="1" xfId="0" applyNumberFormat="1" applyFont="1" applyBorder="1" applyAlignment="1">
      <alignment horizontal="center"/>
    </xf>
    <xf numFmtId="3" fontId="0" fillId="2" borderId="1" xfId="0" applyNumberFormat="1" applyFill="1" applyBorder="1"/>
    <xf numFmtId="164" fontId="0" fillId="0" borderId="0" xfId="0" applyNumberFormat="1"/>
    <xf numFmtId="0" fontId="0" fillId="0" borderId="0" xfId="0" applyFill="1" applyBorder="1" applyAlignment="1">
      <alignment horizontal="left"/>
    </xf>
    <xf numFmtId="0" fontId="2" fillId="0" borderId="1" xfId="0" applyFont="1" applyBorder="1" applyAlignment="1"/>
    <xf numFmtId="0" fontId="3" fillId="0" borderId="0" xfId="1"/>
    <xf numFmtId="0" fontId="0" fillId="0" borderId="2" xfId="0" applyBorder="1" applyAlignment="1">
      <alignment horizontal="left"/>
    </xf>
    <xf numFmtId="0" fontId="2" fillId="0" borderId="1" xfId="0" applyFont="1" applyFill="1" applyBorder="1" applyAlignment="1">
      <alignment horizontal="left"/>
    </xf>
    <xf numFmtId="3" fontId="0" fillId="3" borderId="1" xfId="0" applyNumberFormat="1" applyFont="1" applyFill="1" applyBorder="1"/>
    <xf numFmtId="0" fontId="0" fillId="4" borderId="1" xfId="0" applyFont="1" applyFill="1" applyBorder="1"/>
    <xf numFmtId="0" fontId="0" fillId="5" borderId="1" xfId="0" applyFont="1" applyFill="1" applyBorder="1"/>
    <xf numFmtId="3" fontId="0" fillId="5" borderId="1" xfId="0" applyNumberFormat="1" applyFont="1" applyFill="1" applyBorder="1"/>
    <xf numFmtId="0" fontId="0" fillId="0" borderId="0" xfId="0" applyAlignment="1">
      <alignment vertical="center" wrapText="1"/>
    </xf>
    <xf numFmtId="0" fontId="0" fillId="0" borderId="3" xfId="0" applyFill="1" applyBorder="1" applyAlignment="1">
      <alignment horizontal="center"/>
    </xf>
    <xf numFmtId="3" fontId="0" fillId="4" borderId="1" xfId="0" applyNumberFormat="1" applyFont="1" applyFill="1" applyBorder="1"/>
    <xf numFmtId="0" fontId="0" fillId="0" borderId="5" xfId="0" applyBorder="1" applyAlignment="1">
      <alignment horizontal="center"/>
    </xf>
    <xf numFmtId="1" fontId="0" fillId="3" borderId="1" xfId="0" applyNumberFormat="1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0" fillId="0" borderId="1" xfId="0" applyBorder="1" applyAlignment="1"/>
    <xf numFmtId="0" fontId="7" fillId="0" borderId="0" xfId="0" applyFont="1"/>
    <xf numFmtId="0" fontId="2" fillId="0" borderId="1" xfId="0" applyFon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/>
    <xf numFmtId="0" fontId="0" fillId="0" borderId="10" xfId="0" applyBorder="1" applyAlignment="1">
      <alignment horizontal="center"/>
    </xf>
    <xf numFmtId="0" fontId="0" fillId="0" borderId="1" xfId="0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2" borderId="0" xfId="0" applyFont="1" applyFill="1" applyBorder="1" applyAlignment="1">
      <alignment horizontal="left" vertical="center"/>
    </xf>
    <xf numFmtId="0" fontId="0" fillId="2" borderId="0" xfId="0" applyFill="1" applyBorder="1"/>
    <xf numFmtId="0" fontId="0" fillId="2" borderId="1" xfId="0" applyFont="1" applyFill="1" applyBorder="1" applyAlignment="1">
      <alignment horizontal="left" vertical="center" wrapText="1"/>
    </xf>
    <xf numFmtId="0" fontId="5" fillId="0" borderId="0" xfId="0" applyFont="1"/>
    <xf numFmtId="0" fontId="0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1" xfId="0" quotePrefix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3" fontId="2" fillId="0" borderId="1" xfId="0" applyNumberFormat="1" applyFont="1" applyBorder="1"/>
    <xf numFmtId="0" fontId="18" fillId="0" borderId="0" xfId="0" applyFont="1"/>
    <xf numFmtId="0" fontId="0" fillId="0" borderId="1" xfId="0" applyFont="1" applyBorder="1"/>
    <xf numFmtId="0" fontId="0" fillId="2" borderId="1" xfId="0" applyFont="1" applyFill="1" applyBorder="1"/>
    <xf numFmtId="1" fontId="0" fillId="0" borderId="1" xfId="0" applyNumberFormat="1" applyFont="1" applyBorder="1" applyAlignment="1">
      <alignment horizontal="right" vertical="center"/>
    </xf>
    <xf numFmtId="1" fontId="0" fillId="0" borderId="1" xfId="0" applyNumberFormat="1" applyFont="1" applyBorder="1" applyAlignment="1">
      <alignment horizontal="right"/>
    </xf>
    <xf numFmtId="0" fontId="8" fillId="0" borderId="10" xfId="0" applyFont="1" applyBorder="1" applyAlignment="1">
      <alignment horizontal="center" wrapText="1"/>
    </xf>
    <xf numFmtId="0" fontId="19" fillId="0" borderId="0" xfId="0" applyFont="1"/>
    <xf numFmtId="0" fontId="11" fillId="0" borderId="0" xfId="0" applyFont="1" applyFill="1" applyBorder="1" applyAlignment="1">
      <alignment horizontal="left" wrapText="1"/>
    </xf>
    <xf numFmtId="0" fontId="11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2" fillId="0" borderId="0" xfId="0" applyFont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0" fontId="0" fillId="0" borderId="0" xfId="0" applyFont="1" applyFill="1" applyBorder="1"/>
    <xf numFmtId="0" fontId="2" fillId="0" borderId="22" xfId="0" applyFont="1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0" fillId="0" borderId="28" xfId="0" applyBorder="1"/>
    <xf numFmtId="0" fontId="15" fillId="0" borderId="28" xfId="0" applyFont="1" applyBorder="1" applyAlignment="1">
      <alignment horizontal="right"/>
    </xf>
    <xf numFmtId="0" fontId="16" fillId="0" borderId="28" xfId="0" applyFont="1" applyBorder="1" applyAlignment="1">
      <alignment horizontal="right"/>
    </xf>
    <xf numFmtId="0" fontId="2" fillId="0" borderId="16" xfId="0" applyFont="1" applyFill="1" applyBorder="1" applyAlignment="1">
      <alignment horizontal="left" vertical="center" wrapText="1"/>
    </xf>
    <xf numFmtId="0" fontId="0" fillId="0" borderId="28" xfId="0" applyBorder="1" applyAlignment="1">
      <alignment horizontal="center" wrapText="1"/>
    </xf>
    <xf numFmtId="3" fontId="0" fillId="0" borderId="22" xfId="0" applyNumberFormat="1" applyBorder="1" applyAlignment="1">
      <alignment horizontal="center"/>
    </xf>
    <xf numFmtId="0" fontId="2" fillId="0" borderId="25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22" xfId="0" applyFont="1" applyFill="1" applyBorder="1" applyAlignment="1">
      <alignment horizontal="center" wrapText="1"/>
    </xf>
    <xf numFmtId="0" fontId="0" fillId="2" borderId="24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3" fontId="16" fillId="2" borderId="24" xfId="0" applyNumberFormat="1" applyFont="1" applyFill="1" applyBorder="1"/>
    <xf numFmtId="3" fontId="16" fillId="2" borderId="1" xfId="0" applyNumberFormat="1" applyFont="1" applyFill="1" applyBorder="1"/>
    <xf numFmtId="3" fontId="16" fillId="2" borderId="22" xfId="0" applyNumberFormat="1" applyFont="1" applyFill="1" applyBorder="1"/>
    <xf numFmtId="0" fontId="0" fillId="2" borderId="24" xfId="0" applyFill="1" applyBorder="1" applyAlignment="1">
      <alignment wrapText="1"/>
    </xf>
    <xf numFmtId="3" fontId="0" fillId="2" borderId="1" xfId="0" applyNumberFormat="1" applyFill="1" applyBorder="1" applyAlignment="1">
      <alignment horizontal="center"/>
    </xf>
    <xf numFmtId="3" fontId="0" fillId="2" borderId="22" xfId="0" applyNumberFormat="1" applyFill="1" applyBorder="1" applyAlignment="1">
      <alignment horizontal="center"/>
    </xf>
    <xf numFmtId="0" fontId="2" fillId="2" borderId="25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wrapText="1"/>
    </xf>
    <xf numFmtId="0" fontId="0" fillId="0" borderId="33" xfId="0" applyBorder="1" applyAlignment="1">
      <alignment horizontal="center"/>
    </xf>
    <xf numFmtId="0" fontId="0" fillId="2" borderId="23" xfId="0" applyFill="1" applyBorder="1" applyAlignment="1">
      <alignment wrapText="1"/>
    </xf>
    <xf numFmtId="3" fontId="0" fillId="2" borderId="5" xfId="0" applyNumberFormat="1" applyFill="1" applyBorder="1" applyAlignment="1">
      <alignment horizontal="center"/>
    </xf>
    <xf numFmtId="3" fontId="0" fillId="2" borderId="30" xfId="0" applyNumberFormat="1" applyFill="1" applyBorder="1" applyAlignment="1">
      <alignment horizontal="center"/>
    </xf>
    <xf numFmtId="0" fontId="2" fillId="2" borderId="25" xfId="0" applyFont="1" applyFill="1" applyBorder="1" applyAlignment="1">
      <alignment horizontal="center" wrapText="1"/>
    </xf>
    <xf numFmtId="0" fontId="2" fillId="2" borderId="17" xfId="0" applyFont="1" applyFill="1" applyBorder="1" applyAlignment="1">
      <alignment horizontal="center" wrapText="1"/>
    </xf>
    <xf numFmtId="0" fontId="2" fillId="2" borderId="18" xfId="0" applyFont="1" applyFill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0" fontId="2" fillId="0" borderId="18" xfId="0" applyFont="1" applyBorder="1" applyAlignment="1">
      <alignment horizontal="center" wrapText="1"/>
    </xf>
    <xf numFmtId="0" fontId="7" fillId="2" borderId="25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3" fontId="7" fillId="2" borderId="17" xfId="0" applyNumberFormat="1" applyFont="1" applyFill="1" applyBorder="1" applyAlignment="1">
      <alignment horizontal="center" vertical="center"/>
    </xf>
    <xf numFmtId="3" fontId="7" fillId="2" borderId="18" xfId="0" applyNumberFormat="1" applyFont="1" applyFill="1" applyBorder="1" applyAlignment="1">
      <alignment horizontal="center" vertical="center"/>
    </xf>
    <xf numFmtId="3" fontId="7" fillId="0" borderId="17" xfId="0" applyNumberFormat="1" applyFont="1" applyFill="1" applyBorder="1" applyAlignment="1">
      <alignment horizontal="center" vertical="center"/>
    </xf>
    <xf numFmtId="3" fontId="7" fillId="0" borderId="18" xfId="0" applyNumberFormat="1" applyFont="1" applyFill="1" applyBorder="1" applyAlignment="1">
      <alignment horizontal="center" vertical="center"/>
    </xf>
    <xf numFmtId="3" fontId="0" fillId="0" borderId="1" xfId="0" applyNumberFormat="1" applyBorder="1" applyAlignment="1">
      <alignment wrapText="1"/>
    </xf>
    <xf numFmtId="0" fontId="0" fillId="0" borderId="1" xfId="0" applyFont="1" applyFill="1" applyBorder="1" applyAlignment="1">
      <alignment horizontal="left"/>
    </xf>
    <xf numFmtId="3" fontId="0" fillId="0" borderId="1" xfId="0" quotePrefix="1" applyNumberFormat="1" applyBorder="1" applyAlignment="1">
      <alignment horizontal="center" wrapText="1"/>
    </xf>
    <xf numFmtId="14" fontId="0" fillId="0" borderId="0" xfId="0" applyNumberFormat="1" applyAlignment="1">
      <alignment horizontal="left"/>
    </xf>
    <xf numFmtId="9" fontId="0" fillId="0" borderId="1" xfId="10" applyFont="1" applyBorder="1"/>
    <xf numFmtId="10" fontId="0" fillId="0" borderId="1" xfId="10" applyNumberFormat="1" applyFont="1" applyBorder="1"/>
    <xf numFmtId="10" fontId="0" fillId="0" borderId="0" xfId="0" applyNumberFormat="1"/>
    <xf numFmtId="10" fontId="0" fillId="0" borderId="0" xfId="10" applyNumberFormat="1" applyFont="1"/>
    <xf numFmtId="0" fontId="22" fillId="0" borderId="0" xfId="0" applyFont="1"/>
    <xf numFmtId="10" fontId="0" fillId="0" borderId="1" xfId="0" applyNumberFormat="1" applyBorder="1"/>
    <xf numFmtId="2" fontId="0" fillId="0" borderId="1" xfId="0" applyNumberFormat="1" applyBorder="1"/>
    <xf numFmtId="3" fontId="2" fillId="0" borderId="10" xfId="0" applyNumberFormat="1" applyFont="1" applyBorder="1" applyAlignment="1">
      <alignment horizontal="center"/>
    </xf>
    <xf numFmtId="3" fontId="7" fillId="0" borderId="18" xfId="0" applyNumberFormat="1" applyFont="1" applyBorder="1" applyAlignment="1">
      <alignment horizontal="center" vertical="center"/>
    </xf>
    <xf numFmtId="3" fontId="0" fillId="0" borderId="0" xfId="0" applyNumberFormat="1" applyBorder="1"/>
    <xf numFmtId="0" fontId="2" fillId="0" borderId="0" xfId="0" applyFont="1" applyBorder="1" applyAlignment="1">
      <alignment horizontal="center" wrapText="1"/>
    </xf>
    <xf numFmtId="3" fontId="2" fillId="0" borderId="0" xfId="0" applyNumberFormat="1" applyFont="1" applyBorder="1" applyAlignment="1">
      <alignment horizontal="center" wrapText="1"/>
    </xf>
    <xf numFmtId="3" fontId="0" fillId="2" borderId="0" xfId="0" applyNumberFormat="1" applyFill="1" applyBorder="1"/>
    <xf numFmtId="0" fontId="0" fillId="2" borderId="0" xfId="0" applyFont="1" applyFill="1" applyBorder="1" applyAlignment="1">
      <alignment horizontal="left" vertical="center" wrapText="1"/>
    </xf>
    <xf numFmtId="0" fontId="23" fillId="0" borderId="0" xfId="0" applyFont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horizontal="right" vertical="center"/>
    </xf>
    <xf numFmtId="0" fontId="14" fillId="6" borderId="0" xfId="0" applyFont="1" applyFill="1" applyBorder="1" applyAlignment="1">
      <alignment horizontal="right" vertical="center"/>
    </xf>
    <xf numFmtId="14" fontId="24" fillId="0" borderId="0" xfId="0" applyNumberFormat="1" applyFont="1" applyAlignment="1">
      <alignment horizontal="left"/>
    </xf>
    <xf numFmtId="10" fontId="0" fillId="0" borderId="1" xfId="10" applyNumberFormat="1" applyFont="1" applyFill="1" applyBorder="1"/>
    <xf numFmtId="0" fontId="16" fillId="0" borderId="0" xfId="0" applyFont="1"/>
    <xf numFmtId="3" fontId="15" fillId="2" borderId="24" xfId="0" quotePrefix="1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vertical="center"/>
    </xf>
    <xf numFmtId="0" fontId="2" fillId="0" borderId="26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0" fillId="2" borderId="34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2" fillId="2" borderId="29" xfId="0" applyFont="1" applyFill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0" fillId="2" borderId="3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3" fontId="0" fillId="0" borderId="22" xfId="0" applyNumberForma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left" vertical="center"/>
    </xf>
    <xf numFmtId="0" fontId="0" fillId="0" borderId="9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left"/>
    </xf>
  </cellXfs>
  <cellStyles count="11">
    <cellStyle name="Hyperlink" xfId="1" builtinId="8"/>
    <cellStyle name="Normal" xfId="0" builtinId="0"/>
    <cellStyle name="Normal 2" xfId="4" xr:uid="{867C5C75-29D8-409A-975D-449473109E0E}"/>
    <cellStyle name="Percent" xfId="10" builtinId="5"/>
    <cellStyle name="Procent 3" xfId="7" xr:uid="{D37D247D-6642-452A-9D33-FF87D22E9B49}"/>
    <cellStyle name="Standaard 2 3" xfId="3" xr:uid="{5D5F0BED-612A-4038-BECD-E802B4F4CCB1}"/>
    <cellStyle name="Standaard 3" xfId="9" xr:uid="{DA079698-5FD8-402D-989B-77DBE07731BC}"/>
    <cellStyle name="Standaard 4" xfId="8" xr:uid="{0CEC391D-103B-4732-BE85-FB0E27F140C1}"/>
    <cellStyle name="Standaard_Balans IL-Glob. PLAU" xfId="5" xr:uid="{28B15D88-002B-441F-9CD3-FDAF562DB86A}"/>
    <cellStyle name="Valuta 2" xfId="2" xr:uid="{3C0BAB92-1CDC-4DE0-92B2-34FD5ED49B19}"/>
    <cellStyle name="Valuta 2 2" xfId="6" xr:uid="{D96CF553-8C2C-4CFC-A3D0-7938F29B385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743378668575516E-2"/>
          <c:y val="0.18382453994691814"/>
          <c:w val="0.89656953808917594"/>
          <c:h val="0.6464662414092647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12700">
                <a:noFill/>
              </a:ln>
              <a:effectLst/>
            </c:spPr>
          </c:marker>
          <c:xVal>
            <c:strRef>
              <c:f>'estimation pays 2024'!$C$18:$N$18</c:f>
              <c:strCache>
                <c:ptCount val="12"/>
                <c:pt idx="0">
                  <c:v>Pays-Bas</c:v>
                </c:pt>
                <c:pt idx="1">
                  <c:v>Flandre</c:v>
                </c:pt>
                <c:pt idx="2">
                  <c:v>Wallonie </c:v>
                </c:pt>
                <c:pt idx="3">
                  <c:v>France</c:v>
                </c:pt>
                <c:pt idx="4">
                  <c:v>Pays-Bas</c:v>
                </c:pt>
                <c:pt idx="5">
                  <c:v>Flandre</c:v>
                </c:pt>
                <c:pt idx="6">
                  <c:v>Wallonie</c:v>
                </c:pt>
                <c:pt idx="7">
                  <c:v>France</c:v>
                </c:pt>
                <c:pt idx="8">
                  <c:v>Pays-Bas</c:v>
                </c:pt>
                <c:pt idx="9">
                  <c:v>Wallonie</c:v>
                </c:pt>
                <c:pt idx="10">
                  <c:v>France</c:v>
                </c:pt>
                <c:pt idx="11">
                  <c:v>Flandre</c:v>
                </c:pt>
              </c:strCache>
            </c:strRef>
          </c:xVal>
          <c:yVal>
            <c:numRef>
              <c:f>'estimation pays 2024'!$C$19:$N$19</c:f>
              <c:numCache>
                <c:formatCode>#,##0</c:formatCode>
                <c:ptCount val="12"/>
                <c:pt idx="0" formatCode="0">
                  <c:v>1007</c:v>
                </c:pt>
                <c:pt idx="1">
                  <c:v>2539</c:v>
                </c:pt>
                <c:pt idx="2">
                  <c:v>3175.5</c:v>
                </c:pt>
                <c:pt idx="3">
                  <c:v>48271</c:v>
                </c:pt>
                <c:pt idx="4" formatCode="General">
                  <c:v>1949</c:v>
                </c:pt>
                <c:pt idx="5">
                  <c:v>33571</c:v>
                </c:pt>
                <c:pt idx="6">
                  <c:v>43500</c:v>
                </c:pt>
                <c:pt idx="7">
                  <c:v>48271</c:v>
                </c:pt>
                <c:pt idx="8" formatCode="General">
                  <c:v>1429</c:v>
                </c:pt>
                <c:pt idx="9">
                  <c:v>50000</c:v>
                </c:pt>
                <c:pt idx="10">
                  <c:v>48271</c:v>
                </c:pt>
                <c:pt idx="11">
                  <c:v>67046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913-4A14-BFF3-211BDE484B1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0000">
                  <a:alpha val="2000"/>
                </a:srgbClr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strRef>
              <c:f>'estimation pays 2024'!$C$18:$N$18</c:f>
              <c:strCache>
                <c:ptCount val="12"/>
                <c:pt idx="0">
                  <c:v>Pays-Bas</c:v>
                </c:pt>
                <c:pt idx="1">
                  <c:v>Flandre</c:v>
                </c:pt>
                <c:pt idx="2">
                  <c:v>Wallonie </c:v>
                </c:pt>
                <c:pt idx="3">
                  <c:v>France</c:v>
                </c:pt>
                <c:pt idx="4">
                  <c:v>Pays-Bas</c:v>
                </c:pt>
                <c:pt idx="5">
                  <c:v>Flandre</c:v>
                </c:pt>
                <c:pt idx="6">
                  <c:v>Wallonie</c:v>
                </c:pt>
                <c:pt idx="7">
                  <c:v>France</c:v>
                </c:pt>
                <c:pt idx="8">
                  <c:v>Pays-Bas</c:v>
                </c:pt>
                <c:pt idx="9">
                  <c:v>Wallonie</c:v>
                </c:pt>
                <c:pt idx="10">
                  <c:v>France</c:v>
                </c:pt>
                <c:pt idx="11">
                  <c:v>Flandre</c:v>
                </c:pt>
              </c:strCache>
            </c:strRef>
          </c:xVal>
          <c:yVal>
            <c:numRef>
              <c:f>'estimation pays 2024'!$C$20:$N$20</c:f>
              <c:numCache>
                <c:formatCode>#,##0</c:formatCode>
                <c:ptCount val="12"/>
                <c:pt idx="0" formatCode="0">
                  <c:v>1413</c:v>
                </c:pt>
                <c:pt idx="1">
                  <c:v>2539</c:v>
                </c:pt>
                <c:pt idx="2">
                  <c:v>3175.5</c:v>
                </c:pt>
                <c:pt idx="3">
                  <c:v>57277</c:v>
                </c:pt>
                <c:pt idx="4" formatCode="General">
                  <c:v>2161</c:v>
                </c:pt>
                <c:pt idx="5">
                  <c:v>33571</c:v>
                </c:pt>
                <c:pt idx="6">
                  <c:v>43500</c:v>
                </c:pt>
                <c:pt idx="7">
                  <c:v>57277</c:v>
                </c:pt>
                <c:pt idx="8" formatCode="General">
                  <c:v>1429</c:v>
                </c:pt>
                <c:pt idx="9">
                  <c:v>50000</c:v>
                </c:pt>
                <c:pt idx="10">
                  <c:v>57277</c:v>
                </c:pt>
                <c:pt idx="11">
                  <c:v>67046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913-4A14-BFF3-211BDE484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7849504"/>
        <c:axId val="767850488"/>
      </c:scatterChart>
      <c:valAx>
        <c:axId val="7678495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767850488"/>
        <c:crosses val="autoZero"/>
        <c:crossBetween val="midCat"/>
      </c:valAx>
      <c:valAx>
        <c:axId val="767850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E"/>
          </a:p>
        </c:txPr>
        <c:crossAx val="767849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E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8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2.png"/><Relationship Id="rId9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617220</xdr:colOff>
      <xdr:row>24</xdr:row>
      <xdr:rowOff>87630</xdr:rowOff>
    </xdr:from>
    <xdr:to>
      <xdr:col>11</xdr:col>
      <xdr:colOff>160020</xdr:colOff>
      <xdr:row>50</xdr:row>
      <xdr:rowOff>91440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E5597E-0938-4FD3-9C36-16F1CDC86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754048</xdr:colOff>
      <xdr:row>29</xdr:row>
      <xdr:rowOff>110656</xdr:rowOff>
    </xdr:from>
    <xdr:to>
      <xdr:col>7</xdr:col>
      <xdr:colOff>754048</xdr:colOff>
      <xdr:row>46</xdr:row>
      <xdr:rowOff>35118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8C44DCC9-FB27-4E71-87CD-8FED3F741EE7}"/>
            </a:ext>
          </a:extLst>
        </xdr:cNvPr>
        <xdr:cNvCxnSpPr/>
      </xdr:nvCxnSpPr>
      <xdr:spPr>
        <a:xfrm>
          <a:off x="7703157" y="6504830"/>
          <a:ext cx="0" cy="3022158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548640</xdr:colOff>
      <xdr:row>29</xdr:row>
      <xdr:rowOff>60960</xdr:rowOff>
    </xdr:from>
    <xdr:to>
      <xdr:col>5</xdr:col>
      <xdr:colOff>548640</xdr:colOff>
      <xdr:row>45</xdr:row>
      <xdr:rowOff>167640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B224BF5F-20E6-48A8-AFCE-EB2DC8CF5939}"/>
            </a:ext>
          </a:extLst>
        </xdr:cNvPr>
        <xdr:cNvCxnSpPr/>
      </xdr:nvCxnSpPr>
      <xdr:spPr>
        <a:xfrm>
          <a:off x="5730240" y="6477000"/>
          <a:ext cx="0" cy="303276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0.16219</cdr:x>
      <cdr:y>0.189</cdr:y>
    </cdr:from>
    <cdr:to>
      <cdr:x>0.33058</cdr:x>
      <cdr:y>0.33707</cdr:y>
    </cdr:to>
    <cdr:sp macro="" textlink="">
      <cdr:nvSpPr>
        <cdr:cNvPr id="5" name="Rectangle 4">
          <a:extLst xmlns:a="http://schemas.openxmlformats.org/drawingml/2006/main">
            <a:ext uri="{FF2B5EF4-FFF2-40B4-BE49-F238E27FC236}">
              <a16:creationId xmlns:a16="http://schemas.microsoft.com/office/drawing/2014/main" id="{CF4A041D-D97E-4048-941B-7ABF65468C23}"/>
            </a:ext>
          </a:extLst>
        </cdr:cNvPr>
        <cdr:cNvSpPr/>
      </cdr:nvSpPr>
      <cdr:spPr>
        <a:xfrm xmlns:a="http://schemas.openxmlformats.org/drawingml/2006/main">
          <a:off x="1196340" y="899392"/>
          <a:ext cx="1242060" cy="7046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profil                          110 m</a:t>
          </a:r>
          <a:r>
            <a:rPr lang="en-US" b="0" baseline="30000">
              <a:solidFill>
                <a:schemeClr val="tx1">
                  <a:lumMod val="75000"/>
                  <a:lumOff val="25000"/>
                </a:schemeClr>
              </a:solidFill>
            </a:rPr>
            <a:t>3</a:t>
          </a:r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(n)/h     3.650 MWh/an</a:t>
          </a:r>
          <a:endParaRPr lang="en-BE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0.45151</cdr:x>
      <cdr:y>0.18397</cdr:y>
    </cdr:from>
    <cdr:to>
      <cdr:x>0.55067</cdr:x>
      <cdr:y>0.24963</cdr:y>
    </cdr:to>
    <cdr:sp macro="" textlink="">
      <cdr:nvSpPr>
        <cdr:cNvPr id="7" name="Rectangle 6">
          <a:extLst xmlns:a="http://schemas.openxmlformats.org/drawingml/2006/main">
            <a:ext uri="{FF2B5EF4-FFF2-40B4-BE49-F238E27FC236}">
              <a16:creationId xmlns:a16="http://schemas.microsoft.com/office/drawing/2014/main" id="{C29B06C6-982F-4450-AFF1-B8339D20EB09}"/>
            </a:ext>
          </a:extLst>
        </cdr:cNvPr>
        <cdr:cNvSpPr/>
      </cdr:nvSpPr>
      <cdr:spPr>
        <a:xfrm xmlns:a="http://schemas.openxmlformats.org/drawingml/2006/main">
          <a:off x="3677920" y="789940"/>
          <a:ext cx="807720" cy="2819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BE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0.14204</cdr:x>
      <cdr:y>0.12346</cdr:y>
    </cdr:from>
    <cdr:to>
      <cdr:x>0.38463</cdr:x>
      <cdr:y>0.18912</cdr:y>
    </cdr:to>
    <cdr:sp macro="" textlink="">
      <cdr:nvSpPr>
        <cdr:cNvPr id="8" name="Rectangle 7">
          <a:extLst xmlns:a="http://schemas.openxmlformats.org/drawingml/2006/main">
            <a:ext uri="{FF2B5EF4-FFF2-40B4-BE49-F238E27FC236}">
              <a16:creationId xmlns:a16="http://schemas.microsoft.com/office/drawing/2014/main" id="{C29B06C6-982F-4450-AFF1-B8339D20EB09}"/>
            </a:ext>
          </a:extLst>
        </cdr:cNvPr>
        <cdr:cNvSpPr/>
      </cdr:nvSpPr>
      <cdr:spPr>
        <a:xfrm xmlns:a="http://schemas.openxmlformats.org/drawingml/2006/main">
          <a:off x="1047696" y="587514"/>
          <a:ext cx="1789383" cy="312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estimation</a:t>
          </a:r>
          <a:r>
            <a:rPr lang="en-US" b="0" baseline="0">
              <a:solidFill>
                <a:schemeClr val="tx1">
                  <a:lumMod val="75000"/>
                  <a:lumOff val="25000"/>
                </a:schemeClr>
              </a:solidFill>
            </a:rPr>
            <a:t> coûts min</a:t>
          </a:r>
          <a:endParaRPr lang="en-BE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0.37938</cdr:x>
      <cdr:y>0.12488</cdr:y>
    </cdr:from>
    <cdr:to>
      <cdr:x>0.62197</cdr:x>
      <cdr:y>0.19054</cdr:y>
    </cdr:to>
    <cdr:sp macro="" textlink="">
      <cdr:nvSpPr>
        <cdr:cNvPr id="9" name="Rectangle 8">
          <a:extLst xmlns:a="http://schemas.openxmlformats.org/drawingml/2006/main">
            <a:ext uri="{FF2B5EF4-FFF2-40B4-BE49-F238E27FC236}">
              <a16:creationId xmlns:a16="http://schemas.microsoft.com/office/drawing/2014/main" id="{47BC1780-84A0-4DE7-9E58-B9B03AC74872}"/>
            </a:ext>
          </a:extLst>
        </cdr:cNvPr>
        <cdr:cNvSpPr/>
      </cdr:nvSpPr>
      <cdr:spPr>
        <a:xfrm xmlns:a="http://schemas.openxmlformats.org/drawingml/2006/main">
          <a:off x="2798351" y="594265"/>
          <a:ext cx="1789382" cy="312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estimation</a:t>
          </a:r>
          <a:r>
            <a:rPr lang="en-US" b="0" baseline="0">
              <a:solidFill>
                <a:schemeClr val="tx1">
                  <a:lumMod val="75000"/>
                  <a:lumOff val="25000"/>
                </a:schemeClr>
              </a:solidFill>
            </a:rPr>
            <a:t> coûts max</a:t>
          </a:r>
          <a:endParaRPr lang="en-BE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0.54792</cdr:x>
      <cdr:y>0.85447</cdr:y>
    </cdr:from>
    <cdr:to>
      <cdr:x>0.64708</cdr:x>
      <cdr:y>0.92013</cdr:y>
    </cdr:to>
    <cdr:sp macro="" textlink="">
      <cdr:nvSpPr>
        <cdr:cNvPr id="10" name="Rectangle 9">
          <a:extLst xmlns:a="http://schemas.openxmlformats.org/drawingml/2006/main">
            <a:ext uri="{FF2B5EF4-FFF2-40B4-BE49-F238E27FC236}">
              <a16:creationId xmlns:a16="http://schemas.microsoft.com/office/drawing/2014/main" id="{5CC86E47-BFCE-4695-AE5A-C88B30645F5F}"/>
            </a:ext>
          </a:extLst>
        </cdr:cNvPr>
        <cdr:cNvSpPr/>
      </cdr:nvSpPr>
      <cdr:spPr>
        <a:xfrm xmlns:a="http://schemas.openxmlformats.org/drawingml/2006/main">
          <a:off x="4041532" y="4066178"/>
          <a:ext cx="731420" cy="312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France</a:t>
          </a:r>
          <a:endParaRPr lang="en-BE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0.36336</cdr:x>
      <cdr:y>0.82886</cdr:y>
    </cdr:from>
    <cdr:to>
      <cdr:x>0.46251</cdr:x>
      <cdr:y>0.89452</cdr:y>
    </cdr:to>
    <cdr:sp macro="" textlink="">
      <cdr:nvSpPr>
        <cdr:cNvPr id="11" name="Rectangle 10">
          <a:extLst xmlns:a="http://schemas.openxmlformats.org/drawingml/2006/main">
            <a:ext uri="{FF2B5EF4-FFF2-40B4-BE49-F238E27FC236}">
              <a16:creationId xmlns:a16="http://schemas.microsoft.com/office/drawing/2014/main" id="{FFF48433-1539-4FD6-82EC-5FD56D003CDE}"/>
            </a:ext>
          </a:extLst>
        </cdr:cNvPr>
        <cdr:cNvSpPr/>
      </cdr:nvSpPr>
      <cdr:spPr>
        <a:xfrm xmlns:a="http://schemas.openxmlformats.org/drawingml/2006/main">
          <a:off x="2680205" y="3944285"/>
          <a:ext cx="731346" cy="312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Pays-Bas</a:t>
          </a:r>
          <a:endParaRPr lang="en-BE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0.79141</cdr:x>
      <cdr:y>0.85253</cdr:y>
    </cdr:from>
    <cdr:to>
      <cdr:x>0.89057</cdr:x>
      <cdr:y>0.91819</cdr:y>
    </cdr:to>
    <cdr:sp macro="" textlink="">
      <cdr:nvSpPr>
        <cdr:cNvPr id="12" name="Rectangle 11">
          <a:extLst xmlns:a="http://schemas.openxmlformats.org/drawingml/2006/main">
            <a:ext uri="{FF2B5EF4-FFF2-40B4-BE49-F238E27FC236}">
              <a16:creationId xmlns:a16="http://schemas.microsoft.com/office/drawing/2014/main" id="{FFF48433-1539-4FD6-82EC-5FD56D003CDE}"/>
            </a:ext>
          </a:extLst>
        </cdr:cNvPr>
        <cdr:cNvSpPr/>
      </cdr:nvSpPr>
      <cdr:spPr>
        <a:xfrm xmlns:a="http://schemas.openxmlformats.org/drawingml/2006/main">
          <a:off x="5837594" y="4056928"/>
          <a:ext cx="731420" cy="312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Flandre</a:t>
          </a:r>
          <a:endParaRPr lang="en-BE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0.28523</cdr:x>
      <cdr:y>0.85304</cdr:y>
    </cdr:from>
    <cdr:to>
      <cdr:x>0.38439</cdr:x>
      <cdr:y>0.9187</cdr:y>
    </cdr:to>
    <cdr:sp macro="" textlink="">
      <cdr:nvSpPr>
        <cdr:cNvPr id="13" name="Rectangle 12">
          <a:extLst xmlns:a="http://schemas.openxmlformats.org/drawingml/2006/main">
            <a:ext uri="{FF2B5EF4-FFF2-40B4-BE49-F238E27FC236}">
              <a16:creationId xmlns:a16="http://schemas.microsoft.com/office/drawing/2014/main" id="{A3590D0A-4E38-43FA-9AB3-6FB58081AFFE}"/>
            </a:ext>
          </a:extLst>
        </cdr:cNvPr>
        <cdr:cNvSpPr/>
      </cdr:nvSpPr>
      <cdr:spPr>
        <a:xfrm xmlns:a="http://schemas.openxmlformats.org/drawingml/2006/main">
          <a:off x="1979988" y="4059343"/>
          <a:ext cx="688351" cy="312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France</a:t>
          </a:r>
          <a:endParaRPr lang="en-BE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0.73</cdr:x>
      <cdr:y>0.82387</cdr:y>
    </cdr:from>
    <cdr:to>
      <cdr:x>0.82916</cdr:x>
      <cdr:y>0.88953</cdr:y>
    </cdr:to>
    <cdr:sp macro="" textlink="">
      <cdr:nvSpPr>
        <cdr:cNvPr id="14" name="Rectangle 13">
          <a:extLst xmlns:a="http://schemas.openxmlformats.org/drawingml/2006/main">
            <a:ext uri="{FF2B5EF4-FFF2-40B4-BE49-F238E27FC236}">
              <a16:creationId xmlns:a16="http://schemas.microsoft.com/office/drawing/2014/main" id="{A3590D0A-4E38-43FA-9AB3-6FB58081AFFE}"/>
            </a:ext>
          </a:extLst>
        </cdr:cNvPr>
        <cdr:cNvSpPr/>
      </cdr:nvSpPr>
      <cdr:spPr>
        <a:xfrm xmlns:a="http://schemas.openxmlformats.org/drawingml/2006/main">
          <a:off x="5384627" y="3920554"/>
          <a:ext cx="731420" cy="312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France</a:t>
          </a:r>
          <a:endParaRPr lang="en-BE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0.10358</cdr:x>
      <cdr:y>0.82885</cdr:y>
    </cdr:from>
    <cdr:to>
      <cdr:x>0.20274</cdr:x>
      <cdr:y>0.89451</cdr:y>
    </cdr:to>
    <cdr:sp macro="" textlink="">
      <cdr:nvSpPr>
        <cdr:cNvPr id="15" name="Rectangle 14">
          <a:extLst xmlns:a="http://schemas.openxmlformats.org/drawingml/2006/main">
            <a:ext uri="{FF2B5EF4-FFF2-40B4-BE49-F238E27FC236}">
              <a16:creationId xmlns:a16="http://schemas.microsoft.com/office/drawing/2014/main" id="{8B23F9C9-C056-4C37-88BC-7DF25F67AD52}"/>
            </a:ext>
          </a:extLst>
        </cdr:cNvPr>
        <cdr:cNvSpPr/>
      </cdr:nvSpPr>
      <cdr:spPr>
        <a:xfrm xmlns:a="http://schemas.openxmlformats.org/drawingml/2006/main">
          <a:off x="719048" y="3944250"/>
          <a:ext cx="688351" cy="312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Pays-Bas</a:t>
          </a:r>
          <a:endParaRPr lang="en-BE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0.62771</cdr:x>
      <cdr:y>0.82373</cdr:y>
    </cdr:from>
    <cdr:to>
      <cdr:x>0.72687</cdr:x>
      <cdr:y>0.88939</cdr:y>
    </cdr:to>
    <cdr:sp macro="" textlink="">
      <cdr:nvSpPr>
        <cdr:cNvPr id="16" name="Rectangle 15">
          <a:extLst xmlns:a="http://schemas.openxmlformats.org/drawingml/2006/main">
            <a:ext uri="{FF2B5EF4-FFF2-40B4-BE49-F238E27FC236}">
              <a16:creationId xmlns:a16="http://schemas.microsoft.com/office/drawing/2014/main" id="{8B23F9C9-C056-4C37-88BC-7DF25F67AD52}"/>
            </a:ext>
          </a:extLst>
        </cdr:cNvPr>
        <cdr:cNvSpPr/>
      </cdr:nvSpPr>
      <cdr:spPr>
        <a:xfrm xmlns:a="http://schemas.openxmlformats.org/drawingml/2006/main">
          <a:off x="4568944" y="3905668"/>
          <a:ext cx="721762" cy="3113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Pays-Bas</a:t>
          </a:r>
          <a:endParaRPr lang="en-BE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0.16662</cdr:x>
      <cdr:y>0.85287</cdr:y>
    </cdr:from>
    <cdr:to>
      <cdr:x>0.26578</cdr:x>
      <cdr:y>0.91853</cdr:y>
    </cdr:to>
    <cdr:sp macro="" textlink="">
      <cdr:nvSpPr>
        <cdr:cNvPr id="17" name="Rectangle 16">
          <a:extLst xmlns:a="http://schemas.openxmlformats.org/drawingml/2006/main">
            <a:ext uri="{FF2B5EF4-FFF2-40B4-BE49-F238E27FC236}">
              <a16:creationId xmlns:a16="http://schemas.microsoft.com/office/drawing/2014/main" id="{CF2B24A7-B937-4FF0-B837-686736580D01}"/>
            </a:ext>
          </a:extLst>
        </cdr:cNvPr>
        <cdr:cNvSpPr/>
      </cdr:nvSpPr>
      <cdr:spPr>
        <a:xfrm xmlns:a="http://schemas.openxmlformats.org/drawingml/2006/main">
          <a:off x="1212778" y="4043853"/>
          <a:ext cx="721761" cy="3113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Flandre</a:t>
          </a:r>
          <a:endParaRPr lang="en-BE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0.4246</cdr:x>
      <cdr:y>0.85974</cdr:y>
    </cdr:from>
    <cdr:to>
      <cdr:x>0.52375</cdr:x>
      <cdr:y>0.9254</cdr:y>
    </cdr:to>
    <cdr:sp macro="" textlink="">
      <cdr:nvSpPr>
        <cdr:cNvPr id="18" name="Rectangle 17">
          <a:extLst xmlns:a="http://schemas.openxmlformats.org/drawingml/2006/main">
            <a:ext uri="{FF2B5EF4-FFF2-40B4-BE49-F238E27FC236}">
              <a16:creationId xmlns:a16="http://schemas.microsoft.com/office/drawing/2014/main" id="{CF2B24A7-B937-4FF0-B837-686736580D01}"/>
            </a:ext>
          </a:extLst>
        </cdr:cNvPr>
        <cdr:cNvSpPr/>
      </cdr:nvSpPr>
      <cdr:spPr>
        <a:xfrm xmlns:a="http://schemas.openxmlformats.org/drawingml/2006/main">
          <a:off x="3090579" y="4076421"/>
          <a:ext cx="721689" cy="3113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Flandre</a:t>
          </a:r>
          <a:endParaRPr lang="en-BE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0.11783</cdr:x>
      <cdr:y>0.03339</cdr:y>
    </cdr:from>
    <cdr:to>
      <cdr:x>0.85403</cdr:x>
      <cdr:y>0.12597</cdr:y>
    </cdr:to>
    <cdr:sp macro="" textlink="">
      <cdr:nvSpPr>
        <cdr:cNvPr id="19" name="Rectangle 18">
          <a:extLst xmlns:a="http://schemas.openxmlformats.org/drawingml/2006/main">
            <a:ext uri="{FF2B5EF4-FFF2-40B4-BE49-F238E27FC236}">
              <a16:creationId xmlns:a16="http://schemas.microsoft.com/office/drawing/2014/main" id="{1438EFEB-59C1-42EC-87D5-CBCC8F4623D5}"/>
            </a:ext>
          </a:extLst>
        </cdr:cNvPr>
        <cdr:cNvSpPr/>
      </cdr:nvSpPr>
      <cdr:spPr>
        <a:xfrm xmlns:a="http://schemas.openxmlformats.org/drawingml/2006/main">
          <a:off x="869129" y="158888"/>
          <a:ext cx="5430329" cy="4405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0">
              <a:solidFill>
                <a:schemeClr val="tx1">
                  <a:lumMod val="75000"/>
                  <a:lumOff val="25000"/>
                </a:schemeClr>
              </a:solidFill>
            </a:rPr>
            <a:t>Estimation des coûts d'injection installation gaz renouvelable</a:t>
          </a:r>
          <a:endParaRPr lang="en-BE" sz="1400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0.93595</cdr:y>
    </cdr:from>
    <cdr:to>
      <cdr:x>0.971</cdr:x>
      <cdr:y>0.99823</cdr:y>
    </cdr:to>
    <cdr:sp macro="" textlink="">
      <cdr:nvSpPr>
        <cdr:cNvPr id="20" name="Rectangle 19">
          <a:extLst xmlns:a="http://schemas.openxmlformats.org/drawingml/2006/main">
            <a:ext uri="{FF2B5EF4-FFF2-40B4-BE49-F238E27FC236}">
              <a16:creationId xmlns:a16="http://schemas.microsoft.com/office/drawing/2014/main" id="{6597DEE2-8F6E-441E-B663-4CDBC0CD9247}"/>
            </a:ext>
          </a:extLst>
        </cdr:cNvPr>
        <cdr:cNvSpPr/>
      </cdr:nvSpPr>
      <cdr:spPr>
        <a:xfrm xmlns:a="http://schemas.openxmlformats.org/drawingml/2006/main">
          <a:off x="0" y="4453889"/>
          <a:ext cx="7162251" cy="2963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900" b="0">
              <a:solidFill>
                <a:schemeClr val="tx1">
                  <a:lumMod val="75000"/>
                  <a:lumOff val="25000"/>
                </a:schemeClr>
              </a:solidFill>
            </a:rPr>
            <a:t>Note:</a:t>
          </a:r>
          <a:r>
            <a:rPr lang="en-US" sz="900" b="0" baseline="0">
              <a:solidFill>
                <a:schemeClr val="tx1">
                  <a:lumMod val="75000"/>
                  <a:lumOff val="25000"/>
                </a:schemeClr>
              </a:solidFill>
            </a:rPr>
            <a:t> ORES sur base des grilles tarifaire des GRD  et calcul propre</a:t>
          </a:r>
          <a:endParaRPr lang="en-BE" sz="900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0.89955</cdr:x>
      <cdr:y>0.13004</cdr:y>
    </cdr:from>
    <cdr:to>
      <cdr:x>0.99871</cdr:x>
      <cdr:y>0.1957</cdr:y>
    </cdr:to>
    <cdr:sp macro="" textlink="">
      <cdr:nvSpPr>
        <cdr:cNvPr id="21" name="Rectangle 20">
          <a:extLst xmlns:a="http://schemas.openxmlformats.org/drawingml/2006/main">
            <a:ext uri="{FF2B5EF4-FFF2-40B4-BE49-F238E27FC236}">
              <a16:creationId xmlns:a16="http://schemas.microsoft.com/office/drawing/2014/main" id="{56181F38-00F3-432A-9F70-F6A79A261B8C}"/>
            </a:ext>
          </a:extLst>
        </cdr:cNvPr>
        <cdr:cNvSpPr/>
      </cdr:nvSpPr>
      <cdr:spPr>
        <a:xfrm xmlns:a="http://schemas.openxmlformats.org/drawingml/2006/main">
          <a:off x="6957356" y="618797"/>
          <a:ext cx="766933" cy="312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BE" b="0">
              <a:solidFill>
                <a:schemeClr val="tx1">
                  <a:lumMod val="75000"/>
                  <a:lumOff val="25000"/>
                </a:schemeClr>
              </a:solidFill>
            </a:rPr>
            <a:t>€</a:t>
          </a:r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/an</a:t>
          </a:r>
          <a:endParaRPr lang="en-BE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0.22667</cdr:x>
      <cdr:y>0.82413</cdr:y>
    </cdr:from>
    <cdr:to>
      <cdr:x>0.32583</cdr:x>
      <cdr:y>0.95102</cdr:y>
    </cdr:to>
    <cdr:sp macro="" textlink="">
      <cdr:nvSpPr>
        <cdr:cNvPr id="23" name="Rectangle 22">
          <a:extLst xmlns:a="http://schemas.openxmlformats.org/drawingml/2006/main">
            <a:ext uri="{FF2B5EF4-FFF2-40B4-BE49-F238E27FC236}">
              <a16:creationId xmlns:a16="http://schemas.microsoft.com/office/drawing/2014/main" id="{0419BF00-9145-48CB-BFE1-DC3A13DE0CEA}"/>
            </a:ext>
          </a:extLst>
        </cdr:cNvPr>
        <cdr:cNvSpPr/>
      </cdr:nvSpPr>
      <cdr:spPr>
        <a:xfrm xmlns:a="http://schemas.openxmlformats.org/drawingml/2006/main">
          <a:off x="1649876" y="3907580"/>
          <a:ext cx="721761" cy="601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rgbClr val="00B0F0"/>
              </a:solidFill>
            </a:rPr>
            <a:t>Wallonie </a:t>
          </a:r>
          <a:r>
            <a:rPr lang="en-US" sz="1000" b="0">
              <a:solidFill>
                <a:srgbClr val="00B0F0"/>
              </a:solidFill>
            </a:rPr>
            <a:t>tarif révisé</a:t>
          </a:r>
          <a:endParaRPr lang="en-BE" sz="1000" b="0">
            <a:solidFill>
              <a:srgbClr val="00B0F0"/>
            </a:solidFill>
          </a:endParaRPr>
        </a:p>
      </cdr:txBody>
    </cdr:sp>
  </cdr:relSizeAnchor>
  <cdr:relSizeAnchor xmlns:cdr="http://schemas.openxmlformats.org/drawingml/2006/chartDrawing">
    <cdr:from>
      <cdr:x>0.14669</cdr:x>
      <cdr:y>0.80071</cdr:y>
    </cdr:from>
    <cdr:to>
      <cdr:x>0.35434</cdr:x>
      <cdr:y>0.80231</cdr:y>
    </cdr:to>
    <cdr:cxnSp macro="">
      <cdr:nvCxnSpPr>
        <cdr:cNvPr id="26" name="Straight Connector 25">
          <a:extLst xmlns:a="http://schemas.openxmlformats.org/drawingml/2006/main">
            <a:ext uri="{FF2B5EF4-FFF2-40B4-BE49-F238E27FC236}">
              <a16:creationId xmlns:a16="http://schemas.microsoft.com/office/drawing/2014/main" id="{0B536DAA-E8E7-E020-0A43-F176DEBDE0FA}"/>
            </a:ext>
          </a:extLst>
        </cdr:cNvPr>
        <cdr:cNvCxnSpPr/>
      </cdr:nvCxnSpPr>
      <cdr:spPr>
        <a:xfrm xmlns:a="http://schemas.openxmlformats.org/drawingml/2006/main" flipV="1">
          <a:off x="1067721" y="3796542"/>
          <a:ext cx="1511434" cy="7586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B0F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0.4129</cdr:x>
      <cdr:y>0.48291</cdr:y>
    </cdr:from>
    <cdr:to>
      <cdr:x>0.62054</cdr:x>
      <cdr:y>0.48451</cdr:y>
    </cdr:to>
    <cdr:cxnSp macro="">
      <cdr:nvCxnSpPr>
        <cdr:cNvPr id="30" name="Straight Connector 29">
          <a:extLst xmlns:a="http://schemas.openxmlformats.org/drawingml/2006/main">
            <a:ext uri="{FF2B5EF4-FFF2-40B4-BE49-F238E27FC236}">
              <a16:creationId xmlns:a16="http://schemas.microsoft.com/office/drawing/2014/main" id="{13F89BCE-9222-598F-0AB1-C91479D83044}"/>
            </a:ext>
          </a:extLst>
        </cdr:cNvPr>
        <cdr:cNvCxnSpPr/>
      </cdr:nvCxnSpPr>
      <cdr:spPr>
        <a:xfrm xmlns:a="http://schemas.openxmlformats.org/drawingml/2006/main" flipV="1">
          <a:off x="3005393" y="2289696"/>
          <a:ext cx="1511361" cy="7586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B0F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0.67321</cdr:x>
      <cdr:y>0.42381</cdr:y>
    </cdr:from>
    <cdr:to>
      <cdr:x>0.88085</cdr:x>
      <cdr:y>0.42541</cdr:y>
    </cdr:to>
    <cdr:cxnSp macro="">
      <cdr:nvCxnSpPr>
        <cdr:cNvPr id="31" name="Straight Connector 30">
          <a:extLst xmlns:a="http://schemas.openxmlformats.org/drawingml/2006/main">
            <a:ext uri="{FF2B5EF4-FFF2-40B4-BE49-F238E27FC236}">
              <a16:creationId xmlns:a16="http://schemas.microsoft.com/office/drawing/2014/main" id="{BD0775B1-9848-2177-FB01-CE276DC26A50}"/>
            </a:ext>
          </a:extLst>
        </cdr:cNvPr>
        <cdr:cNvCxnSpPr/>
      </cdr:nvCxnSpPr>
      <cdr:spPr>
        <a:xfrm xmlns:a="http://schemas.openxmlformats.org/drawingml/2006/main" flipV="1">
          <a:off x="4965700" y="2016760"/>
          <a:ext cx="1531620" cy="762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B0F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0.39017</cdr:x>
      <cdr:y>0.13931</cdr:y>
    </cdr:from>
    <cdr:to>
      <cdr:x>0.40992</cdr:x>
      <cdr:y>0.17374</cdr:y>
    </cdr:to>
    <cdr:pic>
      <cdr:nvPicPr>
        <cdr:cNvPr id="32" name="chart">
          <a:extLst xmlns:a="http://schemas.openxmlformats.org/drawingml/2006/main">
            <a:ext uri="{FF2B5EF4-FFF2-40B4-BE49-F238E27FC236}">
              <a16:creationId xmlns:a16="http://schemas.microsoft.com/office/drawing/2014/main" id="{CF8C1930-3A5D-0E86-EA9E-C72674F93CB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2708509" y="662941"/>
          <a:ext cx="137051" cy="16383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0.40668</cdr:x>
      <cdr:y>0.18041</cdr:y>
    </cdr:from>
    <cdr:to>
      <cdr:x>0.57507</cdr:x>
      <cdr:y>0.32848</cdr:y>
    </cdr:to>
    <cdr:sp macro="" textlink="">
      <cdr:nvSpPr>
        <cdr:cNvPr id="33" name="Rectangle 32">
          <a:extLst xmlns:a="http://schemas.openxmlformats.org/drawingml/2006/main">
            <a:ext uri="{FF2B5EF4-FFF2-40B4-BE49-F238E27FC236}">
              <a16:creationId xmlns:a16="http://schemas.microsoft.com/office/drawing/2014/main" id="{D0CA153F-4C2B-946E-B677-B1AC94906805}"/>
            </a:ext>
          </a:extLst>
        </cdr:cNvPr>
        <cdr:cNvSpPr/>
      </cdr:nvSpPr>
      <cdr:spPr>
        <a:xfrm xmlns:a="http://schemas.openxmlformats.org/drawingml/2006/main">
          <a:off x="2999740" y="858520"/>
          <a:ext cx="1242060" cy="7046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profil                          500 m</a:t>
          </a:r>
          <a:r>
            <a:rPr lang="en-US" b="0" baseline="30000">
              <a:solidFill>
                <a:schemeClr val="tx1">
                  <a:lumMod val="75000"/>
                  <a:lumOff val="25000"/>
                </a:schemeClr>
              </a:solidFill>
            </a:rPr>
            <a:t>3</a:t>
          </a:r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(n)/h     50.000 MWh/an</a:t>
          </a:r>
          <a:endParaRPr lang="en-BE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0.64842</cdr:x>
      <cdr:y>0.17561</cdr:y>
    </cdr:from>
    <cdr:to>
      <cdr:x>0.82656</cdr:x>
      <cdr:y>0.32368</cdr:y>
    </cdr:to>
    <cdr:sp macro="" textlink="">
      <cdr:nvSpPr>
        <cdr:cNvPr id="34" name="Rectangle 33">
          <a:extLst xmlns:a="http://schemas.openxmlformats.org/drawingml/2006/main">
            <a:ext uri="{FF2B5EF4-FFF2-40B4-BE49-F238E27FC236}">
              <a16:creationId xmlns:a16="http://schemas.microsoft.com/office/drawing/2014/main" id="{2B5BDD83-E394-DB58-F711-BFA0044BDF86}"/>
            </a:ext>
          </a:extLst>
        </cdr:cNvPr>
        <cdr:cNvSpPr/>
      </cdr:nvSpPr>
      <cdr:spPr>
        <a:xfrm xmlns:a="http://schemas.openxmlformats.org/drawingml/2006/main">
          <a:off x="4501186" y="835660"/>
          <a:ext cx="1236673" cy="7046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profil                          1000 m</a:t>
          </a:r>
          <a:r>
            <a:rPr lang="en-US" b="0" baseline="30000">
              <a:solidFill>
                <a:schemeClr val="tx1">
                  <a:lumMod val="75000"/>
                  <a:lumOff val="25000"/>
                </a:schemeClr>
              </a:solidFill>
            </a:rPr>
            <a:t>3</a:t>
          </a:r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(n)/h     100.000 MWh/an</a:t>
          </a:r>
          <a:endParaRPr lang="en-BE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0.14941</cdr:x>
      <cdr:y>0.14091</cdr:y>
    </cdr:from>
    <cdr:to>
      <cdr:x>0.17548</cdr:x>
      <cdr:y>0.17534</cdr:y>
    </cdr:to>
    <cdr:pic>
      <cdr:nvPicPr>
        <cdr:cNvPr id="43" name="chart">
          <a:extLst xmlns:a="http://schemas.openxmlformats.org/drawingml/2006/main">
            <a:ext uri="{FF2B5EF4-FFF2-40B4-BE49-F238E27FC236}">
              <a16:creationId xmlns:a16="http://schemas.microsoft.com/office/drawing/2014/main" id="{A1622A58-DE8A-7B64-F712-F9ED57291A4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037147" y="670560"/>
          <a:ext cx="180998" cy="16383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0.65255</cdr:x>
      <cdr:y>0.12276</cdr:y>
    </cdr:from>
    <cdr:to>
      <cdr:x>0.89514</cdr:x>
      <cdr:y>0.18842</cdr:y>
    </cdr:to>
    <cdr:sp macro="" textlink="">
      <cdr:nvSpPr>
        <cdr:cNvPr id="44" name="Rectangle 43">
          <a:extLst xmlns:a="http://schemas.openxmlformats.org/drawingml/2006/main">
            <a:ext uri="{FF2B5EF4-FFF2-40B4-BE49-F238E27FC236}">
              <a16:creationId xmlns:a16="http://schemas.microsoft.com/office/drawing/2014/main" id="{42CB19CA-C57F-DFB7-3628-6CB2C2EAD325}"/>
            </a:ext>
          </a:extLst>
        </cdr:cNvPr>
        <cdr:cNvSpPr/>
      </cdr:nvSpPr>
      <cdr:spPr>
        <a:xfrm xmlns:a="http://schemas.openxmlformats.org/drawingml/2006/main">
          <a:off x="4813300" y="584200"/>
          <a:ext cx="1789382" cy="312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chemeClr val="tx1">
                  <a:lumMod val="75000"/>
                  <a:lumOff val="25000"/>
                </a:schemeClr>
              </a:solidFill>
            </a:rPr>
            <a:t>positionnement Wallonie</a:t>
          </a:r>
          <a:endParaRPr lang="en-BE" b="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0.63326</cdr:x>
      <cdr:y>0.15479</cdr:y>
    </cdr:from>
    <cdr:to>
      <cdr:x>0.66391</cdr:x>
      <cdr:y>0.15612</cdr:y>
    </cdr:to>
    <cdr:cxnSp macro="">
      <cdr:nvCxnSpPr>
        <cdr:cNvPr id="45" name="Straight Connector 44">
          <a:extLst xmlns:a="http://schemas.openxmlformats.org/drawingml/2006/main">
            <a:ext uri="{FF2B5EF4-FFF2-40B4-BE49-F238E27FC236}">
              <a16:creationId xmlns:a16="http://schemas.microsoft.com/office/drawing/2014/main" id="{5C0B682B-26C1-B587-69D5-C218221C5AF6}"/>
            </a:ext>
          </a:extLst>
        </cdr:cNvPr>
        <cdr:cNvCxnSpPr/>
      </cdr:nvCxnSpPr>
      <cdr:spPr>
        <a:xfrm xmlns:a="http://schemas.openxmlformats.org/drawingml/2006/main" flipV="1">
          <a:off x="4671060" y="736600"/>
          <a:ext cx="226060" cy="63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B0F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0.48718</cdr:x>
      <cdr:y>0.82824</cdr:y>
    </cdr:from>
    <cdr:to>
      <cdr:x>0.58634</cdr:x>
      <cdr:y>0.95513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D59A1D04-244F-274E-0BE2-1957FCEC4803}"/>
            </a:ext>
          </a:extLst>
        </cdr:cNvPr>
        <cdr:cNvSpPr/>
      </cdr:nvSpPr>
      <cdr:spPr>
        <a:xfrm xmlns:a="http://schemas.openxmlformats.org/drawingml/2006/main">
          <a:off x="3546061" y="3927061"/>
          <a:ext cx="721761" cy="601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rgbClr val="00B0F0"/>
              </a:solidFill>
            </a:rPr>
            <a:t>Wallonie </a:t>
          </a:r>
          <a:r>
            <a:rPr lang="en-US" sz="1000" b="0">
              <a:solidFill>
                <a:srgbClr val="00B0F0"/>
              </a:solidFill>
            </a:rPr>
            <a:t>tarif révisé</a:t>
          </a:r>
          <a:endParaRPr lang="en-BE" sz="1000" b="0">
            <a:solidFill>
              <a:srgbClr val="00B0F0"/>
            </a:solidFill>
          </a:endParaRPr>
        </a:p>
      </cdr:txBody>
    </cdr:sp>
  </cdr:relSizeAnchor>
  <cdr:relSizeAnchor xmlns:cdr="http://schemas.openxmlformats.org/drawingml/2006/chartDrawing">
    <cdr:from>
      <cdr:x>0.67761</cdr:x>
      <cdr:y>0.85444</cdr:y>
    </cdr:from>
    <cdr:to>
      <cdr:x>0.78798</cdr:x>
      <cdr:y>1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9A2286B4-BFCD-6800-5510-C45A903C4989}"/>
            </a:ext>
          </a:extLst>
        </cdr:cNvPr>
        <cdr:cNvSpPr/>
      </cdr:nvSpPr>
      <cdr:spPr>
        <a:xfrm xmlns:a="http://schemas.openxmlformats.org/drawingml/2006/main">
          <a:off x="4932128" y="4051300"/>
          <a:ext cx="803413" cy="690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0">
              <a:solidFill>
                <a:srgbClr val="00B0F0"/>
              </a:solidFill>
            </a:rPr>
            <a:t>Wallonie </a:t>
          </a:r>
          <a:r>
            <a:rPr lang="en-US" sz="1000" b="0">
              <a:solidFill>
                <a:srgbClr val="00B0F0"/>
              </a:solidFill>
            </a:rPr>
            <a:t>tarif révisé, </a:t>
          </a:r>
          <a:endParaRPr lang="en-BE" sz="1000" b="0">
            <a:solidFill>
              <a:srgbClr val="00B0F0"/>
            </a:solidFill>
          </a:endParaRPr>
        </a:p>
      </cdr:txBody>
    </cdr:sp>
  </cdr:relSizeAnchor>
  <cdr:relSizeAnchor xmlns:cdr="http://schemas.openxmlformats.org/drawingml/2006/chartDrawing">
    <cdr:from>
      <cdr:x>0.66128</cdr:x>
      <cdr:y>0.92956</cdr:y>
    </cdr:from>
    <cdr:to>
      <cdr:x>0.79026</cdr:x>
      <cdr:y>0.97897</cdr:y>
    </cdr:to>
    <cdr:sp macro="" textlink="">
      <cdr:nvSpPr>
        <cdr:cNvPr id="6" name="Rectangle 5">
          <a:extLst xmlns:a="http://schemas.openxmlformats.org/drawingml/2006/main">
            <a:ext uri="{FF2B5EF4-FFF2-40B4-BE49-F238E27FC236}">
              <a16:creationId xmlns:a16="http://schemas.microsoft.com/office/drawing/2014/main" id="{503B47FC-00A2-5B12-6456-DADC90B1B5A4}"/>
            </a:ext>
          </a:extLst>
        </cdr:cNvPr>
        <cdr:cNvSpPr/>
      </cdr:nvSpPr>
      <cdr:spPr>
        <a:xfrm xmlns:a="http://schemas.openxmlformats.org/drawingml/2006/main">
          <a:off x="4813300" y="4407452"/>
          <a:ext cx="938806" cy="2342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 b="0">
              <a:solidFill>
                <a:srgbClr val="00B0F0"/>
              </a:solidFill>
            </a:rPr>
            <a:t>plafonnement</a:t>
          </a:r>
          <a:endParaRPr lang="en-BE" sz="1000" b="0">
            <a:solidFill>
              <a:srgbClr val="00B0F0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76201</xdr:colOff>
      <xdr:row>20</xdr:row>
      <xdr:rowOff>110054</xdr:rowOff>
    </xdr:from>
    <xdr:to>
      <xdr:col>6</xdr:col>
      <xdr:colOff>2956561</xdr:colOff>
      <xdr:row>37</xdr:row>
      <xdr:rowOff>50179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7DF383-8933-B013-984F-DB87670F0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2941" y="3973394"/>
          <a:ext cx="2880360" cy="3437705"/>
        </a:xfrm>
        <a:prstGeom prst="rect">
          <a:avLst/>
        </a:prstGeom>
      </xdr:spPr>
    </xdr:pic>
    <xdr:clientData/>
  </xdr:twoCellAnchor>
  <xdr:twoCellAnchor editAs="oneCell">
    <xdr:from>
      <xdr:col>6</xdr:col>
      <xdr:colOff>87970</xdr:colOff>
      <xdr:row>37</xdr:row>
      <xdr:rowOff>76200</xdr:rowOff>
    </xdr:from>
    <xdr:to>
      <xdr:col>7</xdr:col>
      <xdr:colOff>320040</xdr:colOff>
      <xdr:row>47</xdr:row>
      <xdr:rowOff>165218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790588-D1CD-48EC-020B-56148E064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4710" y="7437120"/>
          <a:ext cx="3401990" cy="1917818"/>
        </a:xfrm>
        <a:prstGeom prst="rect">
          <a:avLst/>
        </a:prstGeom>
      </xdr:spPr>
    </xdr:pic>
    <xdr:clientData/>
  </xdr:twoCellAnchor>
  <xdr:twoCellAnchor editAs="oneCell">
    <xdr:from>
      <xdr:col>9</xdr:col>
      <xdr:colOff>182880</xdr:colOff>
      <xdr:row>18</xdr:row>
      <xdr:rowOff>76201</xdr:rowOff>
    </xdr:from>
    <xdr:to>
      <xdr:col>13</xdr:col>
      <xdr:colOff>746760</xdr:colOff>
      <xdr:row>21</xdr:row>
      <xdr:rowOff>68044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AA973D-7836-D12E-D537-05A53F464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708380" y="3573781"/>
          <a:ext cx="4617720" cy="540483"/>
        </a:xfrm>
        <a:prstGeom prst="rect">
          <a:avLst/>
        </a:prstGeom>
      </xdr:spPr>
    </xdr:pic>
    <xdr:clientData/>
  </xdr:twoCellAnchor>
  <xdr:twoCellAnchor editAs="oneCell">
    <xdr:from>
      <xdr:col>8</xdr:col>
      <xdr:colOff>965626</xdr:colOff>
      <xdr:row>21</xdr:row>
      <xdr:rowOff>95305</xdr:rowOff>
    </xdr:from>
    <xdr:to>
      <xdr:col>14</xdr:col>
      <xdr:colOff>395225</xdr:colOff>
      <xdr:row>28</xdr:row>
      <xdr:rowOff>38101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BD393B0-2380-6568-7BD1-5E0D45D51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16706" y="4141525"/>
          <a:ext cx="5540839" cy="1398216"/>
        </a:xfrm>
        <a:prstGeom prst="rect">
          <a:avLst/>
        </a:prstGeom>
      </xdr:spPr>
    </xdr:pic>
    <xdr:clientData/>
  </xdr:twoCellAnchor>
  <xdr:twoCellAnchor editAs="oneCell">
    <xdr:from>
      <xdr:col>9</xdr:col>
      <xdr:colOff>52514</xdr:colOff>
      <xdr:row>27</xdr:row>
      <xdr:rowOff>320040</xdr:rowOff>
    </xdr:from>
    <xdr:to>
      <xdr:col>14</xdr:col>
      <xdr:colOff>388620</xdr:colOff>
      <xdr:row>41</xdr:row>
      <xdr:rowOff>88231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4E91176-16B0-209C-0915-090CCC345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78014" y="5463540"/>
          <a:ext cx="5372926" cy="2717131"/>
        </a:xfrm>
        <a:prstGeom prst="rect">
          <a:avLst/>
        </a:prstGeom>
      </xdr:spPr>
    </xdr:pic>
    <xdr:clientData/>
  </xdr:twoCellAnchor>
  <xdr:twoCellAnchor editAs="oneCell">
    <xdr:from>
      <xdr:col>5</xdr:col>
      <xdr:colOff>556040</xdr:colOff>
      <xdr:row>48</xdr:row>
      <xdr:rowOff>68580</xdr:rowOff>
    </xdr:from>
    <xdr:to>
      <xdr:col>9</xdr:col>
      <xdr:colOff>216143</xdr:colOff>
      <xdr:row>55</xdr:row>
      <xdr:rowOff>136912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71883C1-2838-CDDE-DFBB-38350D5D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53180" y="9441180"/>
          <a:ext cx="5588463" cy="1348492"/>
        </a:xfrm>
        <a:prstGeom prst="rect">
          <a:avLst/>
        </a:prstGeom>
      </xdr:spPr>
    </xdr:pic>
    <xdr:clientData/>
  </xdr:twoCellAnchor>
  <xdr:twoCellAnchor editAs="oneCell">
    <xdr:from>
      <xdr:col>0</xdr:col>
      <xdr:colOff>480060</xdr:colOff>
      <xdr:row>34</xdr:row>
      <xdr:rowOff>76201</xdr:rowOff>
    </xdr:from>
    <xdr:to>
      <xdr:col>4</xdr:col>
      <xdr:colOff>411480</xdr:colOff>
      <xdr:row>38</xdr:row>
      <xdr:rowOff>42945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369D0FA-097A-0284-0A96-DADF826B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0060" y="6888481"/>
          <a:ext cx="6477000" cy="698264"/>
        </a:xfrm>
        <a:prstGeom prst="rect">
          <a:avLst/>
        </a:prstGeom>
      </xdr:spPr>
    </xdr:pic>
    <xdr:clientData/>
  </xdr:twoCellAnchor>
  <xdr:twoCellAnchor editAs="oneCell">
    <xdr:from>
      <xdr:col>5</xdr:col>
      <xdr:colOff>586740</xdr:colOff>
      <xdr:row>55</xdr:row>
      <xdr:rowOff>109401</xdr:rowOff>
    </xdr:from>
    <xdr:to>
      <xdr:col>7</xdr:col>
      <xdr:colOff>487680</xdr:colOff>
      <xdr:row>76</xdr:row>
      <xdr:rowOff>5061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8983C59-A071-A327-58C8-959EC3EC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83880" y="10762161"/>
          <a:ext cx="3680460" cy="3736140"/>
        </a:xfrm>
        <a:prstGeom prst="rect">
          <a:avLst/>
        </a:prstGeom>
      </xdr:spPr>
    </xdr:pic>
    <xdr:clientData/>
  </xdr:twoCellAnchor>
  <xdr:twoCellAnchor editAs="oneCell">
    <xdr:from>
      <xdr:col>0</xdr:col>
      <xdr:colOff>563880</xdr:colOff>
      <xdr:row>40</xdr:row>
      <xdr:rowOff>30480</xdr:rowOff>
    </xdr:from>
    <xdr:to>
      <xdr:col>2</xdr:col>
      <xdr:colOff>274320</xdr:colOff>
      <xdr:row>48</xdr:row>
      <xdr:rowOff>18123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5601937-7F88-D621-2C19-E82416915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63880" y="7940040"/>
          <a:ext cx="4472940" cy="1450683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15</xdr:row>
      <xdr:rowOff>7620</xdr:rowOff>
    </xdr:from>
    <xdr:to>
      <xdr:col>6</xdr:col>
      <xdr:colOff>2209800</xdr:colOff>
      <xdr:row>18</xdr:row>
      <xdr:rowOff>121767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2FD6B160-697C-5AE0-52A8-D163B71A9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0080" y="2545080"/>
          <a:ext cx="2156460" cy="662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7621</xdr:colOff>
      <xdr:row>56</xdr:row>
      <xdr:rowOff>175260</xdr:rowOff>
    </xdr:from>
    <xdr:to>
      <xdr:col>1</xdr:col>
      <xdr:colOff>3763707</xdr:colOff>
      <xdr:row>62</xdr:row>
      <xdr:rowOff>30480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809E329-20B4-109A-3512-113F6F29A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7221" y="11010900"/>
          <a:ext cx="3756086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4</xdr:row>
      <xdr:rowOff>68580</xdr:rowOff>
    </xdr:from>
    <xdr:to>
      <xdr:col>8</xdr:col>
      <xdr:colOff>831215</xdr:colOff>
      <xdr:row>15</xdr:row>
      <xdr:rowOff>99060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B350C54-0171-2836-F55E-94EB88BA4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406640" y="876300"/>
          <a:ext cx="5875655" cy="22174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22861</xdr:colOff>
      <xdr:row>2</xdr:row>
      <xdr:rowOff>160021</xdr:rowOff>
    </xdr:from>
    <xdr:to>
      <xdr:col>4</xdr:col>
      <xdr:colOff>1013461</xdr:colOff>
      <xdr:row>10</xdr:row>
      <xdr:rowOff>182188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4111C1-5603-3941-4B8D-B6A257917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461" y="525781"/>
          <a:ext cx="6278880" cy="1485207"/>
        </a:xfrm>
        <a:prstGeom prst="rect">
          <a:avLst/>
        </a:prstGeom>
      </xdr:spPr>
    </xdr:pic>
    <xdr:clientData/>
  </xdr:twoCellAnchor>
  <xdr:twoCellAnchor>
    <xdr:from>
      <xdr:col>4</xdr:col>
      <xdr:colOff>929640</xdr:colOff>
      <xdr:row>2</xdr:row>
      <xdr:rowOff>83820</xdr:rowOff>
    </xdr:from>
    <xdr:to>
      <xdr:col>8</xdr:col>
      <xdr:colOff>190500</xdr:colOff>
      <xdr:row>6</xdr:row>
      <xdr:rowOff>15087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84E8B49-B5A1-4472-9378-080F3D06A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7520" y="495300"/>
          <a:ext cx="2156460" cy="662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83820</xdr:colOff>
      <xdr:row>24</xdr:row>
      <xdr:rowOff>121920</xdr:rowOff>
    </xdr:from>
    <xdr:to>
      <xdr:col>18</xdr:col>
      <xdr:colOff>318968</xdr:colOff>
      <xdr:row>53</xdr:row>
      <xdr:rowOff>109931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3F0B46-4C19-AE64-F111-34FD41684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55680" y="4526280"/>
          <a:ext cx="6559748" cy="5291531"/>
        </a:xfrm>
        <a:prstGeom prst="rect">
          <a:avLst/>
        </a:prstGeom>
      </xdr:spPr>
    </xdr:pic>
    <xdr:clientData/>
  </xdr:twoCellAnchor>
  <xdr:twoCellAnchor editAs="oneCell">
    <xdr:from>
      <xdr:col>10</xdr:col>
      <xdr:colOff>121920</xdr:colOff>
      <xdr:row>53</xdr:row>
      <xdr:rowOff>35281</xdr:rowOff>
    </xdr:from>
    <xdr:to>
      <xdr:col>18</xdr:col>
      <xdr:colOff>520065</xdr:colOff>
      <xdr:row>75</xdr:row>
      <xdr:rowOff>53340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0A5B43-DEC4-10D1-1E5F-1C0A0EF47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78640" y="9788881"/>
          <a:ext cx="6722745" cy="4041419"/>
        </a:xfrm>
        <a:prstGeom prst="rect">
          <a:avLst/>
        </a:prstGeom>
      </xdr:spPr>
    </xdr:pic>
    <xdr:clientData/>
  </xdr:twoCellAnchor>
  <xdr:twoCellAnchor editAs="oneCell">
    <xdr:from>
      <xdr:col>23</xdr:col>
      <xdr:colOff>266700</xdr:colOff>
      <xdr:row>3</xdr:row>
      <xdr:rowOff>15240</xdr:rowOff>
    </xdr:from>
    <xdr:to>
      <xdr:col>33</xdr:col>
      <xdr:colOff>294509</xdr:colOff>
      <xdr:row>18</xdr:row>
      <xdr:rowOff>142514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EFD277-DFA2-C153-616F-14672025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24020" y="563880"/>
          <a:ext cx="6123809" cy="2885714"/>
        </a:xfrm>
        <a:prstGeom prst="rect">
          <a:avLst/>
        </a:prstGeom>
      </xdr:spPr>
    </xdr:pic>
    <xdr:clientData/>
  </xdr:twoCellAnchor>
  <xdr:twoCellAnchor>
    <xdr:from>
      <xdr:col>4</xdr:col>
      <xdr:colOff>510540</xdr:colOff>
      <xdr:row>1</xdr:row>
      <xdr:rowOff>60960</xdr:rowOff>
    </xdr:from>
    <xdr:to>
      <xdr:col>8</xdr:col>
      <xdr:colOff>541020</xdr:colOff>
      <xdr:row>5</xdr:row>
      <xdr:rowOff>144780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E9B9EACD-C338-443F-916C-FF809A59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0420" y="289560"/>
          <a:ext cx="258318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</xdr:colOff>
      <xdr:row>56</xdr:row>
      <xdr:rowOff>175260</xdr:rowOff>
    </xdr:from>
    <xdr:to>
      <xdr:col>2</xdr:col>
      <xdr:colOff>2690802</xdr:colOff>
      <xdr:row>64</xdr:row>
      <xdr:rowOff>30479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C495597-7C8A-B973-4B32-130A291A3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820" y="10431780"/>
          <a:ext cx="2683182" cy="1318259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66</xdr:row>
      <xdr:rowOff>53341</xdr:rowOff>
    </xdr:from>
    <xdr:to>
      <xdr:col>2</xdr:col>
      <xdr:colOff>2621280</xdr:colOff>
      <xdr:row>74</xdr:row>
      <xdr:rowOff>119459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7EF0BD9-D9CB-453E-58B1-89F202CA9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2060" y="12184381"/>
          <a:ext cx="2598420" cy="1529158"/>
        </a:xfrm>
        <a:prstGeom prst="rect">
          <a:avLst/>
        </a:prstGeom>
      </xdr:spPr>
    </xdr:pic>
    <xdr:clientData/>
  </xdr:twoCellAnchor>
  <xdr:twoCellAnchor editAs="oneCell">
    <xdr:from>
      <xdr:col>2</xdr:col>
      <xdr:colOff>60961</xdr:colOff>
      <xdr:row>76</xdr:row>
      <xdr:rowOff>15241</xdr:rowOff>
    </xdr:from>
    <xdr:to>
      <xdr:col>2</xdr:col>
      <xdr:colOff>2910841</xdr:colOff>
      <xdr:row>86</xdr:row>
      <xdr:rowOff>42613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0A4DD66-1CDA-D209-6D83-30FD7CB72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80161" y="13975081"/>
          <a:ext cx="2849880" cy="185617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167641</xdr:colOff>
      <xdr:row>47</xdr:row>
      <xdr:rowOff>65887</xdr:rowOff>
    </xdr:from>
    <xdr:to>
      <xdr:col>2</xdr:col>
      <xdr:colOff>2279013</xdr:colOff>
      <xdr:row>54</xdr:row>
      <xdr:rowOff>160021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CB8F5C-6ED7-3B51-42B7-5D8C7DE46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86841" y="8676487"/>
          <a:ext cx="2111372" cy="1374294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38</xdr:row>
      <xdr:rowOff>68580</xdr:rowOff>
    </xdr:from>
    <xdr:to>
      <xdr:col>2</xdr:col>
      <xdr:colOff>2208341</xdr:colOff>
      <xdr:row>45</xdr:row>
      <xdr:rowOff>121920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411E983-6CDD-528C-B862-75307D28D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6360" y="7033260"/>
          <a:ext cx="2071181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4153408</xdr:colOff>
      <xdr:row>85</xdr:row>
      <xdr:rowOff>129540</xdr:rowOff>
    </xdr:from>
    <xdr:to>
      <xdr:col>6</xdr:col>
      <xdr:colOff>422417</xdr:colOff>
      <xdr:row>96</xdr:row>
      <xdr:rowOff>102549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6D518F9-CC17-EA5A-EFC3-D98F81988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72608" y="15735300"/>
          <a:ext cx="3043189" cy="1984689"/>
        </a:xfrm>
        <a:prstGeom prst="rect">
          <a:avLst/>
        </a:prstGeom>
      </xdr:spPr>
    </xdr:pic>
    <xdr:clientData/>
  </xdr:twoCellAnchor>
  <xdr:twoCellAnchor editAs="oneCell">
    <xdr:from>
      <xdr:col>2</xdr:col>
      <xdr:colOff>53341</xdr:colOff>
      <xdr:row>85</xdr:row>
      <xdr:rowOff>82641</xdr:rowOff>
    </xdr:from>
    <xdr:to>
      <xdr:col>2</xdr:col>
      <xdr:colOff>3741420</xdr:colOff>
      <xdr:row>108</xdr:row>
      <xdr:rowOff>23959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7962F4C-0EAF-2E6F-251C-16DAC2E9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72541" y="15688401"/>
          <a:ext cx="3688079" cy="4147558"/>
        </a:xfrm>
        <a:prstGeom prst="rect">
          <a:avLst/>
        </a:prstGeom>
      </xdr:spPr>
    </xdr:pic>
    <xdr:clientData/>
  </xdr:twoCellAnchor>
  <xdr:twoCellAnchor>
    <xdr:from>
      <xdr:col>7</xdr:col>
      <xdr:colOff>167640</xdr:colOff>
      <xdr:row>86</xdr:row>
      <xdr:rowOff>53340</xdr:rowOff>
    </xdr:from>
    <xdr:to>
      <xdr:col>13</xdr:col>
      <xdr:colOff>146790</xdr:colOff>
      <xdr:row>111</xdr:row>
      <xdr:rowOff>0</xdr:rowOff>
    </xdr:to>
    <xdr:pic>
      <xdr:nvPicPr>
        <xdr:cNvPr id="15" name="Afbeelding 1">
          <a:extLst>
            <a:ext uri="{FF2B5EF4-FFF2-40B4-BE49-F238E27FC236}">
              <a16:creationId xmlns:a16="http://schemas.microsoft.com/office/drawing/2014/main" id="{94C3658B-DF99-4688-9D19-5CF5B15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0620" y="15841980"/>
          <a:ext cx="6509490" cy="451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2522220</xdr:colOff>
      <xdr:row>111</xdr:row>
      <xdr:rowOff>175260</xdr:rowOff>
    </xdr:from>
    <xdr:to>
      <xdr:col>2</xdr:col>
      <xdr:colOff>4678680</xdr:colOff>
      <xdr:row>115</xdr:row>
      <xdr:rowOff>106527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E42AB522-AA81-4CD4-A2C5-D5919561F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20535900"/>
          <a:ext cx="2156460" cy="662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projet-methanisation.grdf.fr/cms-assets/2021/12/GRDF-Contrat-dinjection-Conditions-Generales-Janvier22.pdf" TargetMode="External"/><Relationship Id="rId1" Type="http://schemas.openxmlformats.org/officeDocument/2006/relationships/hyperlink" Target="https://projet-methanisation.grdf.fr/cms-assets/2021/12/GRDF-Contrat-dinjection-Conditions-Generales-Janvier22.pdf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vreg.be/nl/periodieke-nettarieven-elektriciteit-en-aardgas-2024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06E81-CFE6-4395-BD58-D6502D4E50FD}">
  <sheetPr>
    <tabColor rgb="FF00B0F0"/>
  </sheetPr>
  <dimension ref="B1:Q24"/>
  <sheetViews>
    <sheetView showGridLines="0" zoomScale="92" zoomScaleNormal="92" workbookViewId="0">
      <selection activeCell="N42" sqref="N42"/>
    </sheetView>
  </sheetViews>
  <sheetFormatPr defaultRowHeight="14.4" x14ac:dyDescent="0.3"/>
  <cols>
    <col min="1" max="1" width="14.88671875" style="45" customWidth="1"/>
    <col min="2" max="2" width="20.88671875" style="45" customWidth="1"/>
    <col min="3" max="3" width="13.77734375" style="45" bestFit="1" customWidth="1"/>
    <col min="4" max="4" width="12.77734375" style="45" bestFit="1" customWidth="1"/>
    <col min="5" max="5" width="13.21875" style="45" bestFit="1" customWidth="1"/>
    <col min="6" max="6" width="14.6640625" style="45" customWidth="1"/>
    <col min="7" max="7" width="11.21875" style="45" customWidth="1"/>
    <col min="8" max="8" width="11.5546875" style="45" bestFit="1" customWidth="1"/>
    <col min="9" max="9" width="8.6640625" style="45" bestFit="1" customWidth="1"/>
    <col min="10" max="10" width="18.21875" style="45" customWidth="1"/>
    <col min="11" max="13" width="8.6640625" style="45" bestFit="1" customWidth="1"/>
    <col min="14" max="14" width="14.5546875" style="45" customWidth="1"/>
    <col min="15" max="17" width="8.6640625" style="45" bestFit="1" customWidth="1"/>
    <col min="18" max="16384" width="8.88671875" style="45"/>
  </cols>
  <sheetData>
    <row r="1" spans="2:17" ht="15" thickBot="1" x14ac:dyDescent="0.35"/>
    <row r="2" spans="2:17" s="56" customFormat="1" x14ac:dyDescent="0.3">
      <c r="B2" s="81" t="s">
        <v>21</v>
      </c>
      <c r="C2" s="181" t="s">
        <v>0</v>
      </c>
      <c r="D2" s="182"/>
      <c r="E2" s="183"/>
      <c r="F2" s="184" t="s">
        <v>90</v>
      </c>
      <c r="G2" s="185"/>
      <c r="H2" s="185"/>
      <c r="I2" s="186"/>
      <c r="J2" s="181" t="s">
        <v>13</v>
      </c>
      <c r="K2" s="182"/>
      <c r="L2" s="182"/>
      <c r="M2" s="183"/>
      <c r="N2" s="187" t="s">
        <v>141</v>
      </c>
      <c r="O2" s="188"/>
      <c r="P2" s="188"/>
      <c r="Q2" s="189"/>
    </row>
    <row r="3" spans="2:17" s="33" customFormat="1" ht="28.8" customHeight="1" x14ac:dyDescent="0.3">
      <c r="B3" s="147" t="s">
        <v>104</v>
      </c>
      <c r="C3" s="89" t="s">
        <v>61</v>
      </c>
      <c r="D3" s="90" t="s">
        <v>46</v>
      </c>
      <c r="E3" s="91" t="s">
        <v>48</v>
      </c>
      <c r="F3" s="147" t="s">
        <v>104</v>
      </c>
      <c r="G3" s="15" t="s">
        <v>61</v>
      </c>
      <c r="H3" s="15" t="s">
        <v>46</v>
      </c>
      <c r="I3" s="80" t="s">
        <v>48</v>
      </c>
      <c r="J3" s="149" t="s">
        <v>104</v>
      </c>
      <c r="K3" s="90" t="s">
        <v>96</v>
      </c>
      <c r="L3" s="90" t="s">
        <v>46</v>
      </c>
      <c r="M3" s="91" t="s">
        <v>48</v>
      </c>
      <c r="N3" s="147" t="s">
        <v>104</v>
      </c>
      <c r="O3" s="15" t="s">
        <v>61</v>
      </c>
      <c r="P3" s="15" t="s">
        <v>46</v>
      </c>
      <c r="Q3" s="80" t="s">
        <v>48</v>
      </c>
    </row>
    <row r="4" spans="2:17" s="33" customFormat="1" ht="29.4" thickBot="1" x14ac:dyDescent="0.35">
      <c r="B4" s="148"/>
      <c r="C4" s="106" t="s">
        <v>45</v>
      </c>
      <c r="D4" s="107" t="s">
        <v>47</v>
      </c>
      <c r="E4" s="108" t="s">
        <v>49</v>
      </c>
      <c r="F4" s="148"/>
      <c r="G4" s="109" t="s">
        <v>45</v>
      </c>
      <c r="H4" s="109" t="s">
        <v>47</v>
      </c>
      <c r="I4" s="110" t="s">
        <v>49</v>
      </c>
      <c r="J4" s="150"/>
      <c r="K4" s="107" t="s">
        <v>45</v>
      </c>
      <c r="L4" s="107" t="s">
        <v>47</v>
      </c>
      <c r="M4" s="108" t="s">
        <v>49</v>
      </c>
      <c r="N4" s="148"/>
      <c r="O4" s="109" t="s">
        <v>45</v>
      </c>
      <c r="P4" s="109" t="s">
        <v>47</v>
      </c>
      <c r="Q4" s="110" t="s">
        <v>49</v>
      </c>
    </row>
    <row r="5" spans="2:17" ht="28.8" x14ac:dyDescent="0.3">
      <c r="B5" s="151" t="s">
        <v>97</v>
      </c>
      <c r="C5" s="153" t="s">
        <v>51</v>
      </c>
      <c r="D5" s="190" t="s">
        <v>51</v>
      </c>
      <c r="E5" s="192" t="s">
        <v>51</v>
      </c>
      <c r="F5" s="101" t="s">
        <v>91</v>
      </c>
      <c r="G5" s="36" t="s">
        <v>92</v>
      </c>
      <c r="H5" s="51" t="s">
        <v>99</v>
      </c>
      <c r="I5" s="102">
        <v>997</v>
      </c>
      <c r="J5" s="103" t="s">
        <v>100</v>
      </c>
      <c r="K5" s="104">
        <f>'Flandre 2024'!$C$27</f>
        <v>2443.6749999999997</v>
      </c>
      <c r="L5" s="104">
        <f>'Flandre 2024'!$D$27</f>
        <v>33475</v>
      </c>
      <c r="M5" s="105">
        <f>'Flandre 2024'!$E$27</f>
        <v>66950</v>
      </c>
      <c r="N5" s="155" t="s">
        <v>19</v>
      </c>
      <c r="O5" s="194">
        <f>'Wallonie 2024'!D18</f>
        <v>3175.5</v>
      </c>
      <c r="P5" s="194">
        <f>'Wallonie 2024'!E18</f>
        <v>43500</v>
      </c>
      <c r="Q5" s="196">
        <f>'Wallonie 2024'!F18</f>
        <v>50000</v>
      </c>
    </row>
    <row r="6" spans="2:17" ht="28.8" x14ac:dyDescent="0.3">
      <c r="B6" s="152"/>
      <c r="C6" s="154"/>
      <c r="D6" s="191"/>
      <c r="E6" s="193"/>
      <c r="F6" s="86" t="s">
        <v>18</v>
      </c>
      <c r="G6" s="48">
        <v>541</v>
      </c>
      <c r="H6" s="43">
        <v>1020</v>
      </c>
      <c r="I6" s="87">
        <v>1330</v>
      </c>
      <c r="J6" s="97" t="s">
        <v>101</v>
      </c>
      <c r="K6" s="98">
        <v>95.73</v>
      </c>
      <c r="L6" s="98">
        <v>95.73</v>
      </c>
      <c r="M6" s="99">
        <v>95.73</v>
      </c>
      <c r="N6" s="156"/>
      <c r="O6" s="195"/>
      <c r="P6" s="195"/>
      <c r="Q6" s="197"/>
    </row>
    <row r="7" spans="2:17" x14ac:dyDescent="0.3">
      <c r="B7" s="82" t="s">
        <v>30</v>
      </c>
      <c r="C7" s="92" t="s">
        <v>52</v>
      </c>
      <c r="D7" s="62" t="s">
        <v>52</v>
      </c>
      <c r="E7" s="93" t="s">
        <v>52</v>
      </c>
      <c r="F7" s="157"/>
      <c r="G7" s="158"/>
      <c r="H7" s="158"/>
      <c r="I7" s="159"/>
      <c r="J7" s="166"/>
      <c r="K7" s="167"/>
      <c r="L7" s="167"/>
      <c r="M7" s="168"/>
      <c r="N7" s="157"/>
      <c r="O7" s="158"/>
      <c r="P7" s="158"/>
      <c r="Q7" s="159"/>
    </row>
    <row r="8" spans="2:17" x14ac:dyDescent="0.3">
      <c r="B8" s="82" t="s">
        <v>14</v>
      </c>
      <c r="C8" s="175"/>
      <c r="D8" s="176"/>
      <c r="E8" s="177"/>
      <c r="F8" s="160"/>
      <c r="G8" s="161"/>
      <c r="H8" s="161"/>
      <c r="I8" s="162"/>
      <c r="J8" s="169"/>
      <c r="K8" s="170"/>
      <c r="L8" s="170"/>
      <c r="M8" s="171"/>
      <c r="N8" s="160"/>
      <c r="O8" s="161"/>
      <c r="P8" s="161"/>
      <c r="Q8" s="162"/>
    </row>
    <row r="9" spans="2:17" x14ac:dyDescent="0.3">
      <c r="B9" s="83" t="s">
        <v>15</v>
      </c>
      <c r="C9" s="145" t="s">
        <v>50</v>
      </c>
      <c r="D9" s="145" t="s">
        <v>50</v>
      </c>
      <c r="E9" s="145" t="s">
        <v>50</v>
      </c>
      <c r="F9" s="160"/>
      <c r="G9" s="161"/>
      <c r="H9" s="161"/>
      <c r="I9" s="162"/>
      <c r="J9" s="169"/>
      <c r="K9" s="170"/>
      <c r="L9" s="170"/>
      <c r="M9" s="171"/>
      <c r="N9" s="160"/>
      <c r="O9" s="161"/>
      <c r="P9" s="161"/>
      <c r="Q9" s="162"/>
    </row>
    <row r="10" spans="2:17" x14ac:dyDescent="0.3">
      <c r="B10" s="83" t="s">
        <v>16</v>
      </c>
      <c r="C10" s="145" t="s">
        <v>50</v>
      </c>
      <c r="D10" s="145" t="s">
        <v>50</v>
      </c>
      <c r="E10" s="145" t="s">
        <v>50</v>
      </c>
      <c r="F10" s="160"/>
      <c r="G10" s="161"/>
      <c r="H10" s="161"/>
      <c r="I10" s="162"/>
      <c r="J10" s="169"/>
      <c r="K10" s="170"/>
      <c r="L10" s="170"/>
      <c r="M10" s="171"/>
      <c r="N10" s="160"/>
      <c r="O10" s="161"/>
      <c r="P10" s="161"/>
      <c r="Q10" s="162"/>
    </row>
    <row r="11" spans="2:17" x14ac:dyDescent="0.3">
      <c r="B11" s="84" t="s">
        <v>17</v>
      </c>
      <c r="C11" s="94">
        <f>0*3650</f>
        <v>0</v>
      </c>
      <c r="D11" s="95">
        <f>0*50000</f>
        <v>0</v>
      </c>
      <c r="E11" s="96">
        <f>0*100000</f>
        <v>0</v>
      </c>
      <c r="F11" s="163"/>
      <c r="G11" s="164"/>
      <c r="H11" s="164"/>
      <c r="I11" s="165"/>
      <c r="J11" s="172"/>
      <c r="K11" s="173"/>
      <c r="L11" s="173"/>
      <c r="M11" s="174"/>
      <c r="N11" s="163"/>
      <c r="O11" s="164"/>
      <c r="P11" s="164"/>
      <c r="Q11" s="165"/>
    </row>
    <row r="12" spans="2:17" s="44" customFormat="1" ht="43.2" customHeight="1" thickBot="1" x14ac:dyDescent="0.35">
      <c r="B12" s="85" t="s">
        <v>98</v>
      </c>
      <c r="C12" s="111" t="s">
        <v>57</v>
      </c>
      <c r="D12" s="112" t="s">
        <v>57</v>
      </c>
      <c r="E12" s="113" t="s">
        <v>57</v>
      </c>
      <c r="F12" s="88" t="s">
        <v>102</v>
      </c>
      <c r="G12" s="114" t="s">
        <v>124</v>
      </c>
      <c r="H12" s="114" t="s">
        <v>125</v>
      </c>
      <c r="I12" s="131">
        <v>1429</v>
      </c>
      <c r="J12" s="100" t="s">
        <v>103</v>
      </c>
      <c r="K12" s="115">
        <f>K5+K6</f>
        <v>2539.4049999999997</v>
      </c>
      <c r="L12" s="115">
        <f t="shared" ref="L12:M12" si="0">L5+L6</f>
        <v>33570.730000000003</v>
      </c>
      <c r="M12" s="116">
        <f t="shared" si="0"/>
        <v>67045.73</v>
      </c>
      <c r="N12" s="88" t="s">
        <v>103</v>
      </c>
      <c r="O12" s="117">
        <f>O5+O6</f>
        <v>3175.5</v>
      </c>
      <c r="P12" s="117">
        <f t="shared" ref="P12:Q12" si="1">P5+P6</f>
        <v>43500</v>
      </c>
      <c r="Q12" s="118">
        <f t="shared" si="1"/>
        <v>50000</v>
      </c>
    </row>
    <row r="13" spans="2:17" s="76" customFormat="1" x14ac:dyDescent="0.3">
      <c r="B13" s="73"/>
      <c r="C13" s="74"/>
      <c r="D13" s="75"/>
      <c r="E13" s="75"/>
      <c r="F13" s="38"/>
      <c r="G13" s="39"/>
      <c r="H13" s="39"/>
      <c r="I13" s="39"/>
      <c r="J13" s="38"/>
      <c r="K13" s="13"/>
      <c r="L13" s="13"/>
      <c r="M13" s="13"/>
      <c r="N13" s="38"/>
      <c r="O13" s="13"/>
      <c r="P13" s="13"/>
      <c r="Q13" s="13"/>
    </row>
    <row r="14" spans="2:17" x14ac:dyDescent="0.3">
      <c r="B14" s="24"/>
      <c r="D14" s="23"/>
      <c r="E14" s="23"/>
    </row>
    <row r="15" spans="2:17" x14ac:dyDescent="0.3">
      <c r="B15" s="24"/>
      <c r="D15" s="23"/>
      <c r="E15" s="23"/>
    </row>
    <row r="17" spans="2:14" x14ac:dyDescent="0.3">
      <c r="B17" s="45">
        <f>70000+779</f>
        <v>70779</v>
      </c>
      <c r="C17" s="178" t="s">
        <v>1</v>
      </c>
      <c r="D17" s="179"/>
      <c r="E17" s="179"/>
      <c r="F17" s="180"/>
      <c r="G17" s="178" t="s">
        <v>2</v>
      </c>
      <c r="H17" s="179"/>
      <c r="I17" s="179"/>
      <c r="J17" s="180"/>
      <c r="K17" s="178" t="s">
        <v>3</v>
      </c>
      <c r="L17" s="179"/>
      <c r="M17" s="179"/>
      <c r="N17" s="180"/>
    </row>
    <row r="18" spans="2:14" x14ac:dyDescent="0.3">
      <c r="C18" s="47" t="s">
        <v>20</v>
      </c>
      <c r="D18" s="47" t="s">
        <v>13</v>
      </c>
      <c r="E18" s="47" t="s">
        <v>142</v>
      </c>
      <c r="F18" s="47" t="s">
        <v>0</v>
      </c>
      <c r="G18" s="47" t="s">
        <v>20</v>
      </c>
      <c r="H18" s="47" t="s">
        <v>13</v>
      </c>
      <c r="I18" s="47" t="s">
        <v>22</v>
      </c>
      <c r="J18" s="47" t="s">
        <v>0</v>
      </c>
      <c r="K18" s="36" t="s">
        <v>20</v>
      </c>
      <c r="L18" s="34" t="s">
        <v>22</v>
      </c>
      <c r="M18" s="36" t="s">
        <v>0</v>
      </c>
      <c r="N18" s="36" t="s">
        <v>13</v>
      </c>
    </row>
    <row r="19" spans="2:14" x14ac:dyDescent="0.3">
      <c r="C19" s="37">
        <v>1007</v>
      </c>
      <c r="D19" s="29">
        <v>2539</v>
      </c>
      <c r="E19" s="29">
        <f>O12</f>
        <v>3175.5</v>
      </c>
      <c r="F19" s="29">
        <v>48271</v>
      </c>
      <c r="G19" s="30">
        <v>1949</v>
      </c>
      <c r="H19" s="35">
        <v>33571</v>
      </c>
      <c r="I19" s="35">
        <f>P12</f>
        <v>43500</v>
      </c>
      <c r="J19" s="35">
        <v>48271</v>
      </c>
      <c r="K19" s="31">
        <v>1429</v>
      </c>
      <c r="L19" s="32">
        <v>50000</v>
      </c>
      <c r="M19" s="32">
        <v>48271</v>
      </c>
      <c r="N19" s="32">
        <v>67046</v>
      </c>
    </row>
    <row r="20" spans="2:14" x14ac:dyDescent="0.3">
      <c r="C20" s="37">
        <v>1413</v>
      </c>
      <c r="D20" s="29">
        <v>2539</v>
      </c>
      <c r="E20" s="29">
        <f>O12</f>
        <v>3175.5</v>
      </c>
      <c r="F20" s="29">
        <v>57277</v>
      </c>
      <c r="G20" s="30">
        <v>2161</v>
      </c>
      <c r="H20" s="35">
        <v>33571</v>
      </c>
      <c r="I20" s="35">
        <f>P12</f>
        <v>43500</v>
      </c>
      <c r="J20" s="35">
        <v>57277</v>
      </c>
      <c r="K20" s="31">
        <v>1429</v>
      </c>
      <c r="L20" s="32">
        <v>50000</v>
      </c>
      <c r="M20" s="32">
        <v>57277</v>
      </c>
      <c r="N20" s="32">
        <v>67046</v>
      </c>
    </row>
    <row r="22" spans="2:14" x14ac:dyDescent="0.3"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</row>
    <row r="23" spans="2:14" x14ac:dyDescent="0.3">
      <c r="C23" s="77"/>
      <c r="D23" s="78"/>
      <c r="E23" s="78"/>
      <c r="F23" s="78"/>
      <c r="G23" s="79"/>
      <c r="H23" s="78"/>
      <c r="I23" s="78"/>
      <c r="J23" s="78"/>
      <c r="K23" s="79"/>
      <c r="L23" s="78"/>
      <c r="M23" s="78"/>
      <c r="N23" s="78"/>
    </row>
    <row r="24" spans="2:14" x14ac:dyDescent="0.3">
      <c r="C24" s="77"/>
      <c r="D24" s="78"/>
      <c r="E24" s="78"/>
      <c r="F24" s="78"/>
      <c r="G24" s="79"/>
      <c r="H24" s="78"/>
      <c r="I24" s="78"/>
      <c r="J24" s="78"/>
      <c r="K24" s="79"/>
      <c r="L24" s="78"/>
      <c r="M24" s="78"/>
      <c r="N24" s="78"/>
    </row>
  </sheetData>
  <mergeCells count="23">
    <mergeCell ref="C2:E2"/>
    <mergeCell ref="F2:I2"/>
    <mergeCell ref="J2:M2"/>
    <mergeCell ref="N2:Q2"/>
    <mergeCell ref="D5:D6"/>
    <mergeCell ref="E5:E6"/>
    <mergeCell ref="O5:O6"/>
    <mergeCell ref="P5:P6"/>
    <mergeCell ref="Q5:Q6"/>
    <mergeCell ref="F7:I11"/>
    <mergeCell ref="J7:M11"/>
    <mergeCell ref="N7:Q11"/>
    <mergeCell ref="C8:E8"/>
    <mergeCell ref="C17:F17"/>
    <mergeCell ref="G17:J17"/>
    <mergeCell ref="K17:N17"/>
    <mergeCell ref="B3:B4"/>
    <mergeCell ref="N3:N4"/>
    <mergeCell ref="J3:J4"/>
    <mergeCell ref="F3:F4"/>
    <mergeCell ref="B5:B6"/>
    <mergeCell ref="C5:C6"/>
    <mergeCell ref="N5:N6"/>
  </mergeCells>
  <phoneticPr fontId="10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4ADD3-0DB3-428E-A488-256AA91FF670}">
  <sheetPr>
    <tabColor rgb="FF00B050"/>
  </sheetPr>
  <dimension ref="A1:F18"/>
  <sheetViews>
    <sheetView showGridLines="0" workbookViewId="0">
      <selection activeCell="E18" sqref="E18"/>
    </sheetView>
  </sheetViews>
  <sheetFormatPr defaultRowHeight="14.4" x14ac:dyDescent="0.3"/>
  <cols>
    <col min="3" max="3" width="58.77734375" customWidth="1"/>
    <col min="4" max="4" width="13.77734375" bestFit="1" customWidth="1"/>
    <col min="5" max="5" width="14.77734375" bestFit="1" customWidth="1"/>
    <col min="6" max="6" width="15.77734375" bestFit="1" customWidth="1"/>
  </cols>
  <sheetData>
    <row r="1" spans="1:6" ht="18" x14ac:dyDescent="0.35">
      <c r="A1" s="137" t="s">
        <v>129</v>
      </c>
    </row>
    <row r="4" spans="1:6" x14ac:dyDescent="0.3">
      <c r="C4" s="198" t="s">
        <v>105</v>
      </c>
      <c r="D4" s="201" t="s">
        <v>139</v>
      </c>
      <c r="E4" s="201"/>
      <c r="F4" s="201"/>
    </row>
    <row r="5" spans="1:6" x14ac:dyDescent="0.3">
      <c r="C5" s="199"/>
      <c r="D5" s="42" t="s">
        <v>61</v>
      </c>
      <c r="E5" s="42" t="s">
        <v>46</v>
      </c>
      <c r="F5" s="42" t="s">
        <v>48</v>
      </c>
    </row>
    <row r="6" spans="1:6" x14ac:dyDescent="0.3">
      <c r="C6" s="200"/>
      <c r="D6" s="42" t="s">
        <v>45</v>
      </c>
      <c r="E6" s="42" t="s">
        <v>47</v>
      </c>
      <c r="F6" s="42" t="s">
        <v>49</v>
      </c>
    </row>
    <row r="7" spans="1:6" x14ac:dyDescent="0.3">
      <c r="C7" s="1" t="s">
        <v>69</v>
      </c>
      <c r="D7" s="119">
        <f>0.001*3650000</f>
        <v>3650</v>
      </c>
      <c r="E7" s="119">
        <f>0.001*50000000</f>
        <v>50000</v>
      </c>
      <c r="F7" s="119">
        <v>100000</v>
      </c>
    </row>
    <row r="8" spans="1:6" s="45" customFormat="1" x14ac:dyDescent="0.3">
      <c r="C8" s="1" t="s">
        <v>110</v>
      </c>
      <c r="D8" s="121" t="s">
        <v>50</v>
      </c>
      <c r="E8" s="121" t="s">
        <v>50</v>
      </c>
      <c r="F8" s="119">
        <v>50000</v>
      </c>
    </row>
    <row r="9" spans="1:6" x14ac:dyDescent="0.3">
      <c r="C9" s="14" t="s">
        <v>68</v>
      </c>
      <c r="D9" s="65">
        <f>D7</f>
        <v>3650</v>
      </c>
      <c r="E9" s="65">
        <f t="shared" ref="E9" si="0">E7</f>
        <v>50000</v>
      </c>
      <c r="F9" s="65">
        <f>F8</f>
        <v>50000</v>
      </c>
    </row>
    <row r="13" spans="1:6" x14ac:dyDescent="0.3">
      <c r="C13" s="198" t="s">
        <v>105</v>
      </c>
      <c r="D13" s="201" t="s">
        <v>140</v>
      </c>
      <c r="E13" s="201"/>
      <c r="F13" s="201"/>
    </row>
    <row r="14" spans="1:6" x14ac:dyDescent="0.3">
      <c r="C14" s="199"/>
      <c r="D14" s="42" t="s">
        <v>61</v>
      </c>
      <c r="E14" s="42" t="s">
        <v>46</v>
      </c>
      <c r="F14" s="42" t="s">
        <v>48</v>
      </c>
    </row>
    <row r="15" spans="1:6" x14ac:dyDescent="0.3">
      <c r="C15" s="200"/>
      <c r="D15" s="42" t="s">
        <v>45</v>
      </c>
      <c r="E15" s="42" t="s">
        <v>47</v>
      </c>
      <c r="F15" s="42" t="s">
        <v>49</v>
      </c>
    </row>
    <row r="16" spans="1:6" x14ac:dyDescent="0.3">
      <c r="C16" s="1" t="s">
        <v>69</v>
      </c>
      <c r="D16" s="119">
        <f>0.00087*3650000</f>
        <v>3175.5</v>
      </c>
      <c r="E16" s="119">
        <f>0.00087*50000000</f>
        <v>43500</v>
      </c>
      <c r="F16" s="119">
        <f>0.00087*100000000</f>
        <v>87000</v>
      </c>
    </row>
    <row r="17" spans="3:6" x14ac:dyDescent="0.3">
      <c r="C17" s="1" t="s">
        <v>110</v>
      </c>
      <c r="D17" s="121" t="s">
        <v>50</v>
      </c>
      <c r="E17" s="121" t="s">
        <v>50</v>
      </c>
      <c r="F17" s="119">
        <v>50000</v>
      </c>
    </row>
    <row r="18" spans="3:6" x14ac:dyDescent="0.3">
      <c r="C18" s="14" t="s">
        <v>68</v>
      </c>
      <c r="D18" s="65">
        <f>D16</f>
        <v>3175.5</v>
      </c>
      <c r="E18" s="65">
        <f t="shared" ref="E18" si="1">E16</f>
        <v>43500</v>
      </c>
      <c r="F18" s="65">
        <f>F17</f>
        <v>50000</v>
      </c>
    </row>
  </sheetData>
  <mergeCells count="4">
    <mergeCell ref="C4:C6"/>
    <mergeCell ref="D4:F4"/>
    <mergeCell ref="C13:C15"/>
    <mergeCell ref="D13:F1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6BBF8-CA56-4CAF-ABDD-C301DE291895}">
  <sheetPr>
    <tabColor rgb="FF00B050"/>
  </sheetPr>
  <dimension ref="A1:O66"/>
  <sheetViews>
    <sheetView showGridLines="0" workbookViewId="0">
      <selection activeCell="E25" sqref="E25"/>
    </sheetView>
  </sheetViews>
  <sheetFormatPr defaultRowHeight="14.4" x14ac:dyDescent="0.3"/>
  <cols>
    <col min="2" max="2" width="60.5546875" customWidth="1"/>
    <col min="3" max="4" width="13" customWidth="1"/>
    <col min="7" max="7" width="46.21875" customWidth="1"/>
    <col min="8" max="10" width="15.6640625" customWidth="1"/>
    <col min="13" max="13" width="25.6640625" customWidth="1"/>
    <col min="14" max="14" width="14.33203125" customWidth="1"/>
    <col min="15" max="15" width="14.5546875" customWidth="1"/>
  </cols>
  <sheetData>
    <row r="1" spans="1:15" s="45" customFormat="1" ht="18" x14ac:dyDescent="0.35">
      <c r="A1" s="137" t="s">
        <v>128</v>
      </c>
    </row>
    <row r="2" spans="1:15" s="45" customFormat="1" ht="15.6" x14ac:dyDescent="0.3">
      <c r="G2" s="72" t="s">
        <v>112</v>
      </c>
    </row>
    <row r="3" spans="1:15" s="45" customFormat="1" ht="15.6" x14ac:dyDescent="0.3">
      <c r="B3" s="72" t="s">
        <v>95</v>
      </c>
      <c r="M3" s="72" t="s">
        <v>109</v>
      </c>
    </row>
    <row r="4" spans="1:15" s="45" customFormat="1" x14ac:dyDescent="0.3">
      <c r="D4" s="3"/>
      <c r="G4" s="206" t="s">
        <v>56</v>
      </c>
      <c r="H4" s="201" t="s">
        <v>0</v>
      </c>
      <c r="I4" s="201"/>
      <c r="J4" s="201"/>
    </row>
    <row r="5" spans="1:15" s="45" customFormat="1" x14ac:dyDescent="0.3">
      <c r="B5" s="209" t="s">
        <v>43</v>
      </c>
      <c r="C5" s="211" t="s">
        <v>8</v>
      </c>
      <c r="D5" s="211"/>
      <c r="G5" s="207"/>
      <c r="H5" s="42" t="s">
        <v>61</v>
      </c>
      <c r="I5" s="42" t="s">
        <v>46</v>
      </c>
      <c r="J5" s="42" t="s">
        <v>48</v>
      </c>
      <c r="M5" s="209" t="s">
        <v>108</v>
      </c>
      <c r="N5" s="201" t="s">
        <v>107</v>
      </c>
      <c r="O5" s="201"/>
    </row>
    <row r="6" spans="1:15" s="45" customFormat="1" x14ac:dyDescent="0.3">
      <c r="B6" s="209"/>
      <c r="C6" s="209"/>
      <c r="D6" s="209"/>
      <c r="G6" s="208"/>
      <c r="H6" s="42" t="s">
        <v>45</v>
      </c>
      <c r="I6" s="42" t="s">
        <v>47</v>
      </c>
      <c r="J6" s="42" t="s">
        <v>49</v>
      </c>
      <c r="M6" s="209"/>
      <c r="N6" s="12" t="s">
        <v>35</v>
      </c>
      <c r="O6" s="12" t="s">
        <v>34</v>
      </c>
    </row>
    <row r="7" spans="1:15" s="45" customFormat="1" x14ac:dyDescent="0.3">
      <c r="B7" s="209"/>
      <c r="C7" s="52" t="s">
        <v>4</v>
      </c>
      <c r="D7" s="16" t="s">
        <v>5</v>
      </c>
      <c r="G7" s="203" t="s">
        <v>60</v>
      </c>
      <c r="H7" s="204"/>
      <c r="I7" s="204"/>
      <c r="J7" s="205"/>
      <c r="M7" s="120" t="s">
        <v>106</v>
      </c>
      <c r="N7" s="48">
        <v>47072</v>
      </c>
      <c r="O7" s="48">
        <v>52479</v>
      </c>
    </row>
    <row r="8" spans="1:15" s="45" customFormat="1" x14ac:dyDescent="0.3">
      <c r="B8" s="146" t="s">
        <v>137</v>
      </c>
      <c r="C8" s="146"/>
      <c r="D8" s="146"/>
      <c r="G8" s="20" t="s">
        <v>53</v>
      </c>
      <c r="H8" s="63" t="s">
        <v>50</v>
      </c>
      <c r="I8" s="63" t="s">
        <v>50</v>
      </c>
      <c r="J8" s="63" t="s">
        <v>50</v>
      </c>
    </row>
    <row r="9" spans="1:15" s="45" customFormat="1" x14ac:dyDescent="0.3">
      <c r="B9" s="20" t="s">
        <v>9</v>
      </c>
      <c r="C9" s="202">
        <v>0.7</v>
      </c>
      <c r="D9" s="202"/>
      <c r="E9" s="210"/>
      <c r="G9" s="20" t="s">
        <v>54</v>
      </c>
      <c r="H9" s="63" t="s">
        <v>50</v>
      </c>
      <c r="I9" s="63" t="s">
        <v>50</v>
      </c>
      <c r="J9" s="63" t="s">
        <v>50</v>
      </c>
    </row>
    <row r="10" spans="1:15" s="45" customFormat="1" x14ac:dyDescent="0.3">
      <c r="B10" s="20" t="s">
        <v>10</v>
      </c>
      <c r="C10" s="202">
        <v>0.4</v>
      </c>
      <c r="D10" s="202"/>
      <c r="E10" s="210"/>
      <c r="G10" s="64" t="s">
        <v>55</v>
      </c>
      <c r="H10" s="7">
        <v>0</v>
      </c>
      <c r="I10" s="7">
        <v>0</v>
      </c>
      <c r="J10" s="7">
        <v>0</v>
      </c>
    </row>
    <row r="11" spans="1:15" s="45" customFormat="1" ht="15.6" customHeight="1" x14ac:dyDescent="0.3">
      <c r="B11" s="20" t="s">
        <v>11</v>
      </c>
      <c r="C11" s="202">
        <v>0</v>
      </c>
      <c r="D11" s="202"/>
      <c r="E11" s="210"/>
      <c r="G11" s="6" t="s">
        <v>12</v>
      </c>
      <c r="H11" s="47" t="s">
        <v>51</v>
      </c>
      <c r="I11" s="47" t="s">
        <v>51</v>
      </c>
      <c r="J11" s="47" t="s">
        <v>51</v>
      </c>
    </row>
    <row r="12" spans="1:15" s="45" customFormat="1" ht="27" customHeight="1" x14ac:dyDescent="0.3">
      <c r="B12" s="59" t="s">
        <v>138</v>
      </c>
      <c r="C12" s="202">
        <v>50</v>
      </c>
      <c r="D12" s="202"/>
      <c r="G12" s="19" t="s">
        <v>111</v>
      </c>
      <c r="H12" s="47" t="s">
        <v>52</v>
      </c>
      <c r="I12" s="47" t="s">
        <v>52</v>
      </c>
      <c r="J12" s="47" t="s">
        <v>52</v>
      </c>
    </row>
    <row r="13" spans="1:15" s="45" customFormat="1" x14ac:dyDescent="0.3">
      <c r="B13" s="6" t="s">
        <v>12</v>
      </c>
      <c r="C13" s="11">
        <f>D22</f>
        <v>47071.519999999997</v>
      </c>
      <c r="D13" s="11">
        <f>D21</f>
        <v>52479.48</v>
      </c>
      <c r="G13" s="40" t="s">
        <v>58</v>
      </c>
      <c r="H13" s="47" t="s">
        <v>57</v>
      </c>
      <c r="I13" s="47" t="s">
        <v>57</v>
      </c>
      <c r="J13" s="47" t="s">
        <v>57</v>
      </c>
    </row>
    <row r="14" spans="1:15" s="45" customFormat="1" x14ac:dyDescent="0.3">
      <c r="B14" s="19" t="s">
        <v>111</v>
      </c>
      <c r="C14" s="18">
        <f>C55</f>
        <v>1199.27</v>
      </c>
      <c r="D14" s="18">
        <f>C56</f>
        <v>4797.08</v>
      </c>
      <c r="G14" s="25" t="s">
        <v>59</v>
      </c>
      <c r="H14" s="21">
        <v>52774</v>
      </c>
      <c r="I14" s="21">
        <v>52774</v>
      </c>
      <c r="J14" s="21">
        <v>52774</v>
      </c>
    </row>
    <row r="15" spans="1:15" s="45" customFormat="1" x14ac:dyDescent="0.3">
      <c r="C15" s="3">
        <f>SUM(C13:C14)</f>
        <v>48270.789999999994</v>
      </c>
      <c r="D15" s="3">
        <f>SUM(D13:D14)</f>
        <v>57276.560000000005</v>
      </c>
    </row>
    <row r="16" spans="1:15" s="45" customFormat="1" x14ac:dyDescent="0.3">
      <c r="B16" s="14" t="s">
        <v>7</v>
      </c>
      <c r="C16" s="17"/>
      <c r="D16" s="17"/>
    </row>
    <row r="19" spans="2:7" x14ac:dyDescent="0.3">
      <c r="B19" s="41" t="s">
        <v>31</v>
      </c>
    </row>
    <row r="20" spans="2:7" x14ac:dyDescent="0.3">
      <c r="B20" s="1" t="s">
        <v>38</v>
      </c>
      <c r="C20" s="7" t="s">
        <v>32</v>
      </c>
      <c r="D20" s="55" t="s">
        <v>33</v>
      </c>
      <c r="G20" s="41" t="s">
        <v>42</v>
      </c>
    </row>
    <row r="21" spans="2:7" x14ac:dyDescent="0.3">
      <c r="B21" s="1" t="s">
        <v>34</v>
      </c>
      <c r="C21" s="4">
        <v>13119.87</v>
      </c>
      <c r="D21" s="22">
        <f>C21*4</f>
        <v>52479.48</v>
      </c>
    </row>
    <row r="22" spans="2:7" x14ac:dyDescent="0.3">
      <c r="B22" s="1" t="s">
        <v>36</v>
      </c>
      <c r="C22" s="4">
        <v>11767.88</v>
      </c>
      <c r="D22" s="22">
        <f>C22*4</f>
        <v>47071.519999999997</v>
      </c>
    </row>
    <row r="23" spans="2:7" x14ac:dyDescent="0.3">
      <c r="B23" t="s">
        <v>37</v>
      </c>
    </row>
    <row r="26" spans="2:7" x14ac:dyDescent="0.3">
      <c r="B26" s="10"/>
      <c r="C26" s="9"/>
      <c r="D26" s="132"/>
    </row>
    <row r="27" spans="2:7" x14ac:dyDescent="0.3">
      <c r="B27" s="133"/>
      <c r="C27" s="133"/>
      <c r="D27" s="134"/>
    </row>
    <row r="28" spans="2:7" ht="28.2" customHeight="1" x14ac:dyDescent="0.3">
      <c r="B28" s="57" t="s">
        <v>127</v>
      </c>
    </row>
    <row r="29" spans="2:7" x14ac:dyDescent="0.3">
      <c r="B29" s="57" t="s">
        <v>39</v>
      </c>
    </row>
    <row r="30" spans="2:7" x14ac:dyDescent="0.3">
      <c r="B30" s="57" t="s">
        <v>40</v>
      </c>
    </row>
    <row r="31" spans="2:7" x14ac:dyDescent="0.3">
      <c r="B31" s="57"/>
      <c r="C31" s="58"/>
      <c r="D31" s="135"/>
    </row>
    <row r="32" spans="2:7" ht="31.2" customHeight="1" x14ac:dyDescent="0.3">
      <c r="B32" s="136"/>
      <c r="C32" s="58"/>
      <c r="D32" s="58"/>
    </row>
    <row r="33" spans="2:4" x14ac:dyDescent="0.3">
      <c r="B33" s="45"/>
      <c r="C33" s="45"/>
      <c r="D33" s="45"/>
    </row>
    <row r="34" spans="2:4" x14ac:dyDescent="0.3">
      <c r="B34" s="26" t="s">
        <v>41</v>
      </c>
    </row>
    <row r="39" spans="2:4" x14ac:dyDescent="0.3">
      <c r="B39" s="26" t="s">
        <v>41</v>
      </c>
    </row>
    <row r="43" spans="2:4" x14ac:dyDescent="0.3">
      <c r="B43" s="45"/>
    </row>
    <row r="44" spans="2:4" x14ac:dyDescent="0.3">
      <c r="B44" s="45"/>
    </row>
    <row r="50" spans="2:4" x14ac:dyDescent="0.3">
      <c r="B50" s="2" t="s">
        <v>24</v>
      </c>
      <c r="C50" s="45"/>
    </row>
    <row r="51" spans="2:4" x14ac:dyDescent="0.3">
      <c r="B51" s="45" t="s">
        <v>25</v>
      </c>
      <c r="C51" s="45"/>
    </row>
    <row r="52" spans="2:4" x14ac:dyDescent="0.3">
      <c r="B52" s="45" t="s">
        <v>26</v>
      </c>
      <c r="C52" s="45"/>
    </row>
    <row r="53" spans="2:4" x14ac:dyDescent="0.3">
      <c r="B53" s="45"/>
      <c r="C53" s="45"/>
    </row>
    <row r="54" spans="2:4" x14ac:dyDescent="0.3">
      <c r="B54" s="1" t="s">
        <v>27</v>
      </c>
      <c r="C54" s="1">
        <v>1199.27</v>
      </c>
    </row>
    <row r="55" spans="2:4" x14ac:dyDescent="0.3">
      <c r="B55" s="1" t="s">
        <v>28</v>
      </c>
      <c r="C55" s="1">
        <f>C54*1</f>
        <v>1199.27</v>
      </c>
    </row>
    <row r="56" spans="2:4" x14ac:dyDescent="0.3">
      <c r="B56" s="1" t="s">
        <v>29</v>
      </c>
      <c r="C56" s="1">
        <f>C54*4</f>
        <v>4797.08</v>
      </c>
    </row>
    <row r="60" spans="2:4" x14ac:dyDescent="0.3">
      <c r="D60" s="3"/>
    </row>
    <row r="61" spans="2:4" x14ac:dyDescent="0.3">
      <c r="D61" s="3"/>
    </row>
    <row r="62" spans="2:4" x14ac:dyDescent="0.3">
      <c r="D62" s="3"/>
    </row>
    <row r="63" spans="2:4" x14ac:dyDescent="0.3">
      <c r="D63" s="3"/>
    </row>
    <row r="64" spans="2:4" x14ac:dyDescent="0.3">
      <c r="D64" s="3"/>
    </row>
    <row r="65" spans="4:4" x14ac:dyDescent="0.3">
      <c r="D65" s="3"/>
    </row>
    <row r="66" spans="4:4" x14ac:dyDescent="0.3">
      <c r="D66" s="3"/>
    </row>
  </sheetData>
  <mergeCells count="13">
    <mergeCell ref="B5:B7"/>
    <mergeCell ref="C6:D6"/>
    <mergeCell ref="C5:D5"/>
    <mergeCell ref="C9:D9"/>
    <mergeCell ref="C10:D10"/>
    <mergeCell ref="N5:O5"/>
    <mergeCell ref="C12:D12"/>
    <mergeCell ref="H4:J4"/>
    <mergeCell ref="G7:J7"/>
    <mergeCell ref="G4:G6"/>
    <mergeCell ref="M5:M6"/>
    <mergeCell ref="E9:E11"/>
    <mergeCell ref="C11:D11"/>
  </mergeCells>
  <hyperlinks>
    <hyperlink ref="B34" r:id="rId1" display="https://projet-methanisation.grdf.fr/cms-assets/2021/12/GRDF-Contrat-dinjection-Conditions-Generales-Janvier22.pdf" xr:uid="{37E2D241-E3EE-47B4-844F-4A99F6CCD955}"/>
    <hyperlink ref="B39" r:id="rId2" display="https://projet-methanisation.grdf.fr/cms-assets/2021/12/GRDF-Contrat-dinjection-Conditions-Generales-Janvier22.pdf" xr:uid="{EF6FB743-5E07-4D99-9860-AD30CFF8EF20}"/>
  </hyperlinks>
  <pageMargins left="0.7" right="0.7" top="0.75" bottom="0.75" header="0.3" footer="0.3"/>
  <pageSetup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42E5E-8565-49A8-B7E9-022821EDF1FD}">
  <sheetPr>
    <tabColor rgb="FF00B050"/>
  </sheetPr>
  <dimension ref="A1:J29"/>
  <sheetViews>
    <sheetView showGridLines="0" workbookViewId="0"/>
  </sheetViews>
  <sheetFormatPr defaultRowHeight="14.4" x14ac:dyDescent="0.3"/>
  <cols>
    <col min="2" max="2" width="46" customWidth="1"/>
    <col min="3" max="5" width="15.5546875" customWidth="1"/>
    <col min="9" max="9" width="9.5546875" bestFit="1" customWidth="1"/>
    <col min="10" max="10" width="13.44140625" customWidth="1"/>
  </cols>
  <sheetData>
    <row r="1" spans="1:2" ht="18" x14ac:dyDescent="0.35">
      <c r="A1" s="60" t="s">
        <v>130</v>
      </c>
    </row>
    <row r="2" spans="1:2" x14ac:dyDescent="0.3">
      <c r="B2" t="s">
        <v>62</v>
      </c>
    </row>
    <row r="14" spans="1:2" x14ac:dyDescent="0.3">
      <c r="B14" s="26" t="s">
        <v>63</v>
      </c>
    </row>
    <row r="15" spans="1:2" x14ac:dyDescent="0.3">
      <c r="B15" t="s">
        <v>64</v>
      </c>
    </row>
    <row r="16" spans="1:2" ht="15.6" x14ac:dyDescent="0.3">
      <c r="B16" s="72" t="s">
        <v>116</v>
      </c>
    </row>
    <row r="17" spans="2:10" x14ac:dyDescent="0.3">
      <c r="H17" s="212"/>
      <c r="I17" s="212"/>
      <c r="J17" s="138"/>
    </row>
    <row r="18" spans="2:10" x14ac:dyDescent="0.3">
      <c r="B18" s="53" t="s">
        <v>6</v>
      </c>
      <c r="C18" s="53" t="s">
        <v>107</v>
      </c>
      <c r="H18" s="139"/>
      <c r="I18" s="139"/>
      <c r="J18" s="139"/>
    </row>
    <row r="19" spans="2:10" x14ac:dyDescent="0.3">
      <c r="B19" s="1" t="s">
        <v>113</v>
      </c>
      <c r="C19" s="1"/>
      <c r="H19" s="139"/>
      <c r="I19" s="139"/>
      <c r="J19" s="140"/>
    </row>
    <row r="20" spans="2:10" x14ac:dyDescent="0.3">
      <c r="B20" s="1" t="s">
        <v>114</v>
      </c>
      <c r="C20" s="1">
        <v>6.6949999999999996E-4</v>
      </c>
      <c r="H20" s="139"/>
      <c r="I20" s="139"/>
      <c r="J20" s="141"/>
    </row>
    <row r="21" spans="2:10" x14ac:dyDescent="0.3">
      <c r="B21" s="1" t="s">
        <v>115</v>
      </c>
      <c r="C21" s="1">
        <v>95.73</v>
      </c>
    </row>
    <row r="23" spans="2:10" x14ac:dyDescent="0.3">
      <c r="B23" s="206" t="s">
        <v>65</v>
      </c>
      <c r="C23" s="201" t="s">
        <v>13</v>
      </c>
      <c r="D23" s="201"/>
      <c r="E23" s="201"/>
    </row>
    <row r="24" spans="2:10" x14ac:dyDescent="0.3">
      <c r="B24" s="207"/>
      <c r="C24" s="42" t="s">
        <v>61</v>
      </c>
      <c r="D24" s="42" t="s">
        <v>46</v>
      </c>
      <c r="E24" s="42" t="s">
        <v>48</v>
      </c>
    </row>
    <row r="25" spans="2:10" x14ac:dyDescent="0.3">
      <c r="B25" s="208"/>
      <c r="C25" s="42" t="s">
        <v>45</v>
      </c>
      <c r="D25" s="42" t="s">
        <v>47</v>
      </c>
      <c r="E25" s="42" t="s">
        <v>49</v>
      </c>
    </row>
    <row r="26" spans="2:10" x14ac:dyDescent="0.3">
      <c r="B26" s="1" t="s">
        <v>69</v>
      </c>
      <c r="C26" s="213"/>
      <c r="D26" s="213"/>
      <c r="E26" s="213"/>
    </row>
    <row r="27" spans="2:10" x14ac:dyDescent="0.3">
      <c r="B27" s="1" t="s">
        <v>66</v>
      </c>
      <c r="C27" s="4">
        <f>3650000*0.0006695</f>
        <v>2443.6749999999997</v>
      </c>
      <c r="D27" s="4">
        <f>50000000*0.0006695</f>
        <v>33475</v>
      </c>
      <c r="E27" s="4">
        <f>100000000*0.0006695</f>
        <v>66950</v>
      </c>
    </row>
    <row r="28" spans="2:10" x14ac:dyDescent="0.3">
      <c r="B28" s="1" t="s">
        <v>67</v>
      </c>
      <c r="C28" s="1">
        <v>95.73</v>
      </c>
      <c r="D28" s="1">
        <v>95.73</v>
      </c>
      <c r="E28" s="1">
        <v>95.73</v>
      </c>
    </row>
    <row r="29" spans="2:10" x14ac:dyDescent="0.3">
      <c r="B29" s="14" t="s">
        <v>68</v>
      </c>
      <c r="C29" s="65">
        <f>C27+C28</f>
        <v>2539.4049999999997</v>
      </c>
      <c r="D29" s="65">
        <f t="shared" ref="D29:E29" si="0">D27+D28</f>
        <v>33570.730000000003</v>
      </c>
      <c r="E29" s="65">
        <f t="shared" si="0"/>
        <v>67045.73</v>
      </c>
    </row>
  </sheetData>
  <mergeCells count="4">
    <mergeCell ref="H17:I17"/>
    <mergeCell ref="C23:E23"/>
    <mergeCell ref="B23:B25"/>
    <mergeCell ref="C26:E26"/>
  </mergeCells>
  <hyperlinks>
    <hyperlink ref="B14" r:id="rId1" display="https://www.vreg.be/nl/periodieke-nettarieven-elektriciteit-en-aardgas-2024" xr:uid="{4C600875-0B28-495E-8A86-BBC639002171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E1B13-9CE7-4200-8422-1DA8304A4FA7}">
  <sheetPr>
    <tabColor rgb="FF00B050"/>
  </sheetPr>
  <dimension ref="A1:W118"/>
  <sheetViews>
    <sheetView showGridLines="0" tabSelected="1" workbookViewId="0">
      <selection activeCell="G44" sqref="G44"/>
    </sheetView>
  </sheetViews>
  <sheetFormatPr defaultRowHeight="14.4" x14ac:dyDescent="0.3"/>
  <cols>
    <col min="3" max="3" width="70.44140625" customWidth="1"/>
    <col min="5" max="5" width="10.5546875" bestFit="1" customWidth="1"/>
    <col min="10" max="10" width="29.6640625" customWidth="1"/>
    <col min="11" max="11" width="14.6640625" customWidth="1"/>
    <col min="12" max="12" width="15.5546875" customWidth="1"/>
    <col min="13" max="13" width="17.5546875" customWidth="1"/>
  </cols>
  <sheetData>
    <row r="1" spans="1:13" ht="18" x14ac:dyDescent="0.35">
      <c r="A1" s="60" t="s">
        <v>136</v>
      </c>
    </row>
    <row r="2" spans="1:13" x14ac:dyDescent="0.3">
      <c r="C2" t="s">
        <v>85</v>
      </c>
    </row>
    <row r="3" spans="1:13" x14ac:dyDescent="0.3">
      <c r="C3" s="45" t="s">
        <v>86</v>
      </c>
      <c r="D3">
        <v>466.11</v>
      </c>
    </row>
    <row r="4" spans="1:13" x14ac:dyDescent="0.3">
      <c r="C4" s="45" t="s">
        <v>81</v>
      </c>
      <c r="D4">
        <v>1140.98</v>
      </c>
    </row>
    <row r="6" spans="1:13" x14ac:dyDescent="0.3">
      <c r="C6" s="45" t="s">
        <v>82</v>
      </c>
    </row>
    <row r="7" spans="1:13" x14ac:dyDescent="0.3">
      <c r="C7" s="45" t="s">
        <v>80</v>
      </c>
      <c r="D7">
        <v>872.47</v>
      </c>
    </row>
    <row r="8" spans="1:13" x14ac:dyDescent="0.3">
      <c r="C8" s="45" t="s">
        <v>83</v>
      </c>
      <c r="D8">
        <v>929.28</v>
      </c>
    </row>
    <row r="9" spans="1:13" x14ac:dyDescent="0.3">
      <c r="C9" s="45" t="s">
        <v>84</v>
      </c>
      <c r="D9">
        <v>997.49</v>
      </c>
    </row>
    <row r="11" spans="1:13" ht="15.6" x14ac:dyDescent="0.3">
      <c r="C11" s="72" t="s">
        <v>117</v>
      </c>
    </row>
    <row r="13" spans="1:13" x14ac:dyDescent="0.3">
      <c r="C13" s="68" t="s">
        <v>87</v>
      </c>
      <c r="D13" s="61" t="s">
        <v>4</v>
      </c>
      <c r="E13" s="61" t="s">
        <v>5</v>
      </c>
      <c r="J13" s="214" t="s">
        <v>90</v>
      </c>
      <c r="K13" s="215"/>
      <c r="L13" s="215"/>
      <c r="M13" s="216"/>
    </row>
    <row r="14" spans="1:13" x14ac:dyDescent="0.3">
      <c r="C14" s="67" t="s">
        <v>80</v>
      </c>
      <c r="D14" s="69">
        <v>466.11</v>
      </c>
      <c r="E14" s="69">
        <v>872.47</v>
      </c>
      <c r="J14" s="198" t="s">
        <v>44</v>
      </c>
      <c r="K14" s="54" t="s">
        <v>61</v>
      </c>
      <c r="L14" s="54" t="s">
        <v>46</v>
      </c>
      <c r="M14" s="54" t="s">
        <v>48</v>
      </c>
    </row>
    <row r="15" spans="1:13" x14ac:dyDescent="0.3">
      <c r="C15" s="67" t="s">
        <v>81</v>
      </c>
      <c r="D15" s="70">
        <v>929.28</v>
      </c>
      <c r="E15" s="70">
        <v>1140.98</v>
      </c>
      <c r="J15" s="200"/>
      <c r="K15" s="71" t="s">
        <v>45</v>
      </c>
      <c r="L15" s="71" t="s">
        <v>47</v>
      </c>
      <c r="M15" s="71" t="s">
        <v>49</v>
      </c>
    </row>
    <row r="16" spans="1:13" x14ac:dyDescent="0.3">
      <c r="C16" s="67" t="s">
        <v>84</v>
      </c>
      <c r="D16" s="70">
        <v>997.49</v>
      </c>
      <c r="E16" s="70">
        <v>997.49</v>
      </c>
      <c r="J16" s="8" t="s">
        <v>91</v>
      </c>
      <c r="K16" s="47" t="s">
        <v>93</v>
      </c>
      <c r="L16" s="46" t="s">
        <v>94</v>
      </c>
      <c r="M16" s="46">
        <v>997</v>
      </c>
    </row>
    <row r="17" spans="3:13" x14ac:dyDescent="0.3">
      <c r="C17" s="220" t="s">
        <v>118</v>
      </c>
      <c r="D17" s="220"/>
      <c r="E17" s="220"/>
      <c r="J17" s="27" t="s">
        <v>126</v>
      </c>
      <c r="K17" s="48">
        <f>J116</f>
        <v>540.59168397176506</v>
      </c>
      <c r="L17" s="48">
        <f>J117</f>
        <v>1020.4844242663864</v>
      </c>
      <c r="M17" s="48">
        <f>J118</f>
        <v>1329.9430126640505</v>
      </c>
    </row>
    <row r="18" spans="3:13" x14ac:dyDescent="0.3">
      <c r="C18" s="67" t="s">
        <v>88</v>
      </c>
      <c r="D18" s="219">
        <v>0</v>
      </c>
      <c r="E18" s="219"/>
      <c r="J18" s="28" t="s">
        <v>23</v>
      </c>
      <c r="K18" s="42" t="s">
        <v>124</v>
      </c>
      <c r="L18" s="50" t="s">
        <v>125</v>
      </c>
      <c r="M18" s="130">
        <v>1429</v>
      </c>
    </row>
    <row r="19" spans="3:13" x14ac:dyDescent="0.3">
      <c r="C19" s="67" t="s">
        <v>89</v>
      </c>
      <c r="D19" s="219">
        <v>0</v>
      </c>
      <c r="E19" s="219"/>
    </row>
    <row r="21" spans="3:13" x14ac:dyDescent="0.3">
      <c r="C21" t="s">
        <v>78</v>
      </c>
    </row>
    <row r="22" spans="3:13" x14ac:dyDescent="0.3">
      <c r="C22" t="s">
        <v>72</v>
      </c>
    </row>
    <row r="23" spans="3:13" x14ac:dyDescent="0.3">
      <c r="C23" s="45" t="s">
        <v>73</v>
      </c>
    </row>
    <row r="25" spans="3:13" x14ac:dyDescent="0.3">
      <c r="C25" t="s">
        <v>79</v>
      </c>
    </row>
    <row r="26" spans="3:13" x14ac:dyDescent="0.3">
      <c r="C26" t="s">
        <v>76</v>
      </c>
    </row>
    <row r="27" spans="3:13" x14ac:dyDescent="0.3">
      <c r="C27" t="s">
        <v>77</v>
      </c>
    </row>
    <row r="28" spans="3:13" x14ac:dyDescent="0.3">
      <c r="C28" t="s">
        <v>70</v>
      </c>
    </row>
    <row r="29" spans="3:13" x14ac:dyDescent="0.3">
      <c r="C29" t="s">
        <v>74</v>
      </c>
    </row>
    <row r="30" spans="3:13" x14ac:dyDescent="0.3">
      <c r="C30" t="s">
        <v>71</v>
      </c>
    </row>
    <row r="31" spans="3:13" x14ac:dyDescent="0.3">
      <c r="C31" t="s">
        <v>75</v>
      </c>
    </row>
    <row r="34" spans="3:3" x14ac:dyDescent="0.3">
      <c r="C34" s="41" t="s">
        <v>120</v>
      </c>
    </row>
    <row r="35" spans="3:3" x14ac:dyDescent="0.3">
      <c r="C35" s="127" t="s">
        <v>121</v>
      </c>
    </row>
    <row r="36" spans="3:3" x14ac:dyDescent="0.3">
      <c r="C36" s="5" t="s">
        <v>122</v>
      </c>
    </row>
    <row r="38" spans="3:3" x14ac:dyDescent="0.3">
      <c r="C38" s="142">
        <v>43831</v>
      </c>
    </row>
    <row r="47" spans="3:3" x14ac:dyDescent="0.3">
      <c r="C47" s="142">
        <v>44197</v>
      </c>
    </row>
    <row r="56" spans="3:3" x14ac:dyDescent="0.3">
      <c r="C56" s="142">
        <v>44743</v>
      </c>
    </row>
    <row r="62" spans="3:3" x14ac:dyDescent="0.3">
      <c r="C62" s="66"/>
    </row>
    <row r="66" spans="3:9" x14ac:dyDescent="0.3">
      <c r="C66" s="122">
        <v>44927</v>
      </c>
    </row>
    <row r="68" spans="3:9" x14ac:dyDescent="0.3">
      <c r="D68" t="s">
        <v>131</v>
      </c>
    </row>
    <row r="69" spans="3:9" x14ac:dyDescent="0.3">
      <c r="D69" s="1">
        <v>2020</v>
      </c>
      <c r="E69" s="1">
        <v>2021</v>
      </c>
      <c r="F69" s="1">
        <v>2022</v>
      </c>
      <c r="G69" s="1">
        <v>2023</v>
      </c>
      <c r="H69" s="1">
        <v>2024</v>
      </c>
    </row>
    <row r="70" spans="3:9" x14ac:dyDescent="0.3">
      <c r="D70" s="1">
        <v>6.0130000000000003E-2</v>
      </c>
      <c r="E70" s="1">
        <v>6.0729999999999999E-2</v>
      </c>
      <c r="F70" s="1">
        <v>6.2190000000000002E-2</v>
      </c>
      <c r="G70" s="1">
        <v>3.1469999999999998E-2</v>
      </c>
      <c r="H70" s="1">
        <v>5.6849999999999998E-2</v>
      </c>
    </row>
    <row r="71" spans="3:9" x14ac:dyDescent="0.3">
      <c r="D71" s="1">
        <v>0.15329999999999999</v>
      </c>
      <c r="E71" s="1">
        <v>0.15482000000000001</v>
      </c>
      <c r="F71" s="1">
        <v>0.15851999999999999</v>
      </c>
      <c r="G71" s="1">
        <v>8.0240000000000006E-2</v>
      </c>
      <c r="H71" s="1">
        <v>0.14494000000000001</v>
      </c>
    </row>
    <row r="72" spans="3:9" x14ac:dyDescent="0.3">
      <c r="D72" s="1">
        <v>0.15329999999999999</v>
      </c>
      <c r="E72" s="1">
        <v>0.15482000000000001</v>
      </c>
      <c r="F72" s="1">
        <v>0.15851999999999999</v>
      </c>
      <c r="G72" s="1">
        <v>8.0240000000000006E-2</v>
      </c>
      <c r="H72" s="1">
        <v>0.14494000000000001</v>
      </c>
    </row>
    <row r="73" spans="3:9" x14ac:dyDescent="0.3">
      <c r="D73" s="1">
        <v>0.52724000000000004</v>
      </c>
      <c r="E73" s="1">
        <v>0.53242999999999996</v>
      </c>
      <c r="F73" s="1">
        <v>0.54515000000000002</v>
      </c>
      <c r="G73" s="1">
        <v>0.27594000000000002</v>
      </c>
      <c r="H73" s="1">
        <v>0.49848999999999999</v>
      </c>
    </row>
    <row r="74" spans="3:9" x14ac:dyDescent="0.3">
      <c r="D74" s="1">
        <v>2.2811699999999999</v>
      </c>
      <c r="E74" s="1">
        <v>2.3035000000000001</v>
      </c>
      <c r="F74" s="1">
        <v>2.3587099999999999</v>
      </c>
      <c r="G74" s="1">
        <v>2.30715</v>
      </c>
      <c r="H74" s="1">
        <v>2.5849099999999998</v>
      </c>
    </row>
    <row r="76" spans="3:9" x14ac:dyDescent="0.3">
      <c r="C76" s="122">
        <v>45292</v>
      </c>
      <c r="D76" t="s">
        <v>132</v>
      </c>
    </row>
    <row r="77" spans="3:9" x14ac:dyDescent="0.3">
      <c r="D77" s="1">
        <v>2020</v>
      </c>
      <c r="E77" s="1">
        <v>2021</v>
      </c>
      <c r="F77" s="1">
        <v>2022</v>
      </c>
      <c r="G77" s="1">
        <v>2023</v>
      </c>
      <c r="H77" s="1">
        <v>2024</v>
      </c>
      <c r="I77" s="1" t="s">
        <v>119</v>
      </c>
    </row>
    <row r="78" spans="3:9" x14ac:dyDescent="0.3">
      <c r="D78" s="1"/>
      <c r="E78" s="124">
        <f t="shared" ref="E78:H82" si="0">E70/D70-1</f>
        <v>9.978380176284718E-3</v>
      </c>
      <c r="F78" s="124">
        <f t="shared" si="0"/>
        <v>2.4040836489379158E-2</v>
      </c>
      <c r="G78" s="124">
        <f t="shared" si="0"/>
        <v>-0.49397009165460692</v>
      </c>
      <c r="H78" s="124">
        <f t="shared" si="0"/>
        <v>0.80648236415633945</v>
      </c>
      <c r="I78" s="143">
        <f>H70/D70-1</f>
        <v>-5.4548478297023251E-2</v>
      </c>
    </row>
    <row r="79" spans="3:9" x14ac:dyDescent="0.3">
      <c r="D79" s="1"/>
      <c r="E79" s="124">
        <f t="shared" si="0"/>
        <v>9.9151989562948906E-3</v>
      </c>
      <c r="F79" s="124">
        <f t="shared" si="0"/>
        <v>2.3898721095465536E-2</v>
      </c>
      <c r="G79" s="124">
        <f t="shared" si="0"/>
        <v>-0.49381781478677766</v>
      </c>
      <c r="H79" s="124">
        <f t="shared" si="0"/>
        <v>0.80633100697906279</v>
      </c>
      <c r="I79" s="143">
        <f>H71/D71-1</f>
        <v>-5.4533594259621565E-2</v>
      </c>
    </row>
    <row r="80" spans="3:9" x14ac:dyDescent="0.3">
      <c r="D80" s="1"/>
      <c r="E80" s="124">
        <f t="shared" si="0"/>
        <v>9.9151989562948906E-3</v>
      </c>
      <c r="F80" s="124">
        <f t="shared" si="0"/>
        <v>2.3898721095465536E-2</v>
      </c>
      <c r="G80" s="124">
        <f t="shared" si="0"/>
        <v>-0.49381781478677766</v>
      </c>
      <c r="H80" s="124">
        <f t="shared" si="0"/>
        <v>0.80633100697906279</v>
      </c>
      <c r="I80" s="143">
        <f>H72/D72-1</f>
        <v>-5.4533594259621565E-2</v>
      </c>
    </row>
    <row r="81" spans="4:23" x14ac:dyDescent="0.3">
      <c r="D81" s="1"/>
      <c r="E81" s="124">
        <f t="shared" si="0"/>
        <v>9.8437144374476926E-3</v>
      </c>
      <c r="F81" s="124">
        <f t="shared" si="0"/>
        <v>2.3890464474203288E-2</v>
      </c>
      <c r="G81" s="124">
        <f t="shared" si="0"/>
        <v>-0.493827386957718</v>
      </c>
      <c r="H81" s="124">
        <f t="shared" si="0"/>
        <v>0.8065159092556351</v>
      </c>
      <c r="I81" s="143">
        <f>H73/D73-1</f>
        <v>-5.4529246642895157E-2</v>
      </c>
    </row>
    <row r="82" spans="4:23" x14ac:dyDescent="0.3">
      <c r="D82" s="1"/>
      <c r="E82" s="124">
        <f t="shared" si="0"/>
        <v>9.7888364304283826E-3</v>
      </c>
      <c r="F82" s="124">
        <f t="shared" si="0"/>
        <v>2.3967874972867342E-2</v>
      </c>
      <c r="G82" s="124">
        <f t="shared" si="0"/>
        <v>-2.1859406200847031E-2</v>
      </c>
      <c r="H82" s="124">
        <f t="shared" si="0"/>
        <v>0.12039095854192383</v>
      </c>
      <c r="I82" s="143">
        <f>H74/D74-1</f>
        <v>0.13315097077376947</v>
      </c>
    </row>
    <row r="94" spans="4:23" x14ac:dyDescent="0.3">
      <c r="W94" s="125">
        <v>3.1E-2</v>
      </c>
    </row>
    <row r="102" spans="11:17" x14ac:dyDescent="0.3">
      <c r="K102" s="1"/>
      <c r="L102" s="1"/>
      <c r="M102" s="1"/>
      <c r="N102" s="1"/>
      <c r="O102" s="1"/>
    </row>
    <row r="110" spans="11:17" x14ac:dyDescent="0.3">
      <c r="Q110" s="126"/>
    </row>
    <row r="111" spans="11:17" x14ac:dyDescent="0.3">
      <c r="Q111" s="126"/>
    </row>
    <row r="112" spans="11:17" x14ac:dyDescent="0.3">
      <c r="Q112" s="126"/>
    </row>
    <row r="113" spans="4:18" x14ac:dyDescent="0.3">
      <c r="D113" s="144" t="s">
        <v>133</v>
      </c>
      <c r="Q113" s="126"/>
      <c r="R113" s="126"/>
    </row>
    <row r="114" spans="4:18" x14ac:dyDescent="0.3">
      <c r="D114" s="1" t="s">
        <v>123</v>
      </c>
      <c r="E114" s="1"/>
      <c r="F114" s="128">
        <v>5.7099999999999998E-2</v>
      </c>
      <c r="G114" s="128">
        <v>9.5899999999999999E-2</v>
      </c>
      <c r="H114" s="128">
        <v>1.21E-2</v>
      </c>
      <c r="I114" s="128">
        <v>3.1E-2</v>
      </c>
      <c r="J114" s="217" t="s">
        <v>135</v>
      </c>
      <c r="K114" s="217" t="s">
        <v>134</v>
      </c>
    </row>
    <row r="115" spans="4:18" x14ac:dyDescent="0.3">
      <c r="D115" s="1"/>
      <c r="E115" s="1">
        <v>2020</v>
      </c>
      <c r="F115" s="1">
        <v>2021</v>
      </c>
      <c r="G115" s="1">
        <v>2022</v>
      </c>
      <c r="H115" s="1">
        <v>2023</v>
      </c>
      <c r="I115" s="1">
        <v>2024</v>
      </c>
      <c r="J115" s="218"/>
      <c r="K115" s="218"/>
    </row>
    <row r="116" spans="4:18" x14ac:dyDescent="0.3">
      <c r="D116" s="1" t="s">
        <v>1</v>
      </c>
      <c r="E116" s="1">
        <v>489.48</v>
      </c>
      <c r="F116" s="1">
        <f>E116*(1+$F$114)</f>
        <v>517.42930799999999</v>
      </c>
      <c r="G116" s="1">
        <f>F116*(1+$G$114)</f>
        <v>567.0507786372001</v>
      </c>
      <c r="H116" s="1">
        <f>G116*(1+$H$114)</f>
        <v>573.91209305871018</v>
      </c>
      <c r="I116" s="1">
        <f>H116*(1+$I$114)</f>
        <v>591.70336794353011</v>
      </c>
      <c r="J116" s="129">
        <f>(E116+I116)/2</f>
        <v>540.59168397176506</v>
      </c>
      <c r="K116" s="123">
        <f>J116/E116-1</f>
        <v>0.10442037258266956</v>
      </c>
    </row>
    <row r="117" spans="4:18" x14ac:dyDescent="0.3">
      <c r="D117" s="1" t="s">
        <v>2</v>
      </c>
      <c r="E117" s="1">
        <v>924</v>
      </c>
      <c r="F117" s="1">
        <f>E117*(1+$F$114)</f>
        <v>976.76039999999989</v>
      </c>
      <c r="G117" s="1">
        <f t="shared" ref="G117:G118" si="1">F117*(1+$G$114)</f>
        <v>1070.4317223599999</v>
      </c>
      <c r="H117" s="1">
        <f t="shared" ref="H117:H118" si="2">G117*(1+$H$114)</f>
        <v>1083.3839462005558</v>
      </c>
      <c r="I117" s="1">
        <f t="shared" ref="I117:I118" si="3">H117*(1+$I$114)</f>
        <v>1116.9688485327729</v>
      </c>
      <c r="J117" s="129">
        <f t="shared" ref="J117:J118" si="4">(E117+I117)/2</f>
        <v>1020.4844242663864</v>
      </c>
      <c r="K117" s="123">
        <f t="shared" ref="K117:K118" si="5">J117/E117-1</f>
        <v>0.10442037258266934</v>
      </c>
    </row>
    <row r="118" spans="4:18" x14ac:dyDescent="0.3">
      <c r="D118" s="1" t="s">
        <v>3</v>
      </c>
      <c r="E118" s="1">
        <v>1204.2</v>
      </c>
      <c r="F118" s="1">
        <f t="shared" ref="F118" si="6">E118*(1+$F$114)</f>
        <v>1272.95982</v>
      </c>
      <c r="G118" s="1">
        <f t="shared" si="1"/>
        <v>1395.0366667380001</v>
      </c>
      <c r="H118" s="1">
        <f t="shared" si="2"/>
        <v>1411.9166104055298</v>
      </c>
      <c r="I118" s="1">
        <f t="shared" si="3"/>
        <v>1455.6860253281011</v>
      </c>
      <c r="J118" s="129">
        <f t="shared" si="4"/>
        <v>1329.9430126640505</v>
      </c>
      <c r="K118" s="123">
        <f t="shared" si="5"/>
        <v>0.10442037258266934</v>
      </c>
    </row>
  </sheetData>
  <mergeCells count="7">
    <mergeCell ref="J13:M13"/>
    <mergeCell ref="J14:J15"/>
    <mergeCell ref="J114:J115"/>
    <mergeCell ref="K114:K115"/>
    <mergeCell ref="D18:E18"/>
    <mergeCell ref="D19:E19"/>
    <mergeCell ref="C17:E17"/>
  </mergeCells>
  <phoneticPr fontId="1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estimation pays 2024</vt:lpstr>
      <vt:lpstr>Wallonie 2024</vt:lpstr>
      <vt:lpstr>France 2024</vt:lpstr>
      <vt:lpstr>Flandre 2024</vt:lpstr>
      <vt:lpstr>Pays-Bas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Floroiu Cristinela</dc:creator>
  <cp:lastModifiedBy>Floroiu Cristinela</cp:lastModifiedBy>
  <cp:lastPrinted>2024-04-26T05:01:12Z</cp:lastPrinted>
  <dcterms:created xsi:type="dcterms:W3CDTF">2020-11-17T09:00:28Z</dcterms:created>
  <dcterms:modified xsi:type="dcterms:W3CDTF">2024-04-30T12:35:40Z</dcterms:modified>
</cp:coreProperties>
</file>